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386" windowWidth="4740" windowHeight="6090" activeTab="0"/>
  </bookViews>
  <sheets>
    <sheet name="Resumen evaluación 2012 final" sheetId="1" r:id="rId1"/>
    <sheet name="Evaluación PAA 2012 final" sheetId="2" r:id="rId2"/>
    <sheet name="Programa 1" sheetId="3" r:id="rId3"/>
    <sheet name="Programa 2" sheetId="4" r:id="rId4"/>
    <sheet name="Programa 3" sheetId="5" r:id="rId5"/>
    <sheet name="Programa 4" sheetId="6" r:id="rId6"/>
    <sheet name="Programa 5" sheetId="7" r:id="rId7"/>
    <sheet name="Programa 6" sheetId="8" r:id="rId8"/>
    <sheet name="Programa 7" sheetId="9" r:id="rId9"/>
    <sheet name="Informe de compatibilidad" sheetId="10" r:id="rId10"/>
  </sheets>
  <definedNames>
    <definedName name="_xlnm.Print_Area" localSheetId="1">'Evaluación PAA 2012 final'!$B$3:$L$81</definedName>
    <definedName name="_xlnm.Print_Area" localSheetId="2">'Programa 1'!$B$2:$T$75</definedName>
    <definedName name="_xlnm.Print_Area" localSheetId="3">'Programa 2'!$A$1:$S$44</definedName>
    <definedName name="_xlnm.Print_Area" localSheetId="4">'Programa 3'!$B$2:$T$58</definedName>
    <definedName name="_xlnm.Print_Area" localSheetId="5">'Programa 4'!$A$1:$T$86</definedName>
    <definedName name="_xlnm.Print_Area" localSheetId="6">'Programa 5'!$B$2:$T$117</definedName>
    <definedName name="_xlnm.Print_Area" localSheetId="7">'Programa 6'!$B$2:$T$65</definedName>
    <definedName name="_xlnm.Print_Area" localSheetId="8">'Programa 7'!$B$2:$T$14</definedName>
    <definedName name="_xlnm.Print_Area" localSheetId="0">'Resumen evaluación 2012 final'!$B$3:$H$73</definedName>
  </definedNames>
  <calcPr fullCalcOnLoad="1"/>
</workbook>
</file>

<file path=xl/comments2.xml><?xml version="1.0" encoding="utf-8"?>
<comments xmlns="http://schemas.openxmlformats.org/spreadsheetml/2006/main">
  <authors>
    <author>yesid</author>
  </authors>
  <commentList>
    <comment ref="B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Este programa consta de tres proyectos y se denomina: "ECORREGIONES ESTRATÉGICAS PRIORIDAD AMBIENTAL"</t>
        </r>
      </text>
    </comment>
    <comment ref="C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Proyecto: ORDENAMIENTO Y MANEJO INTEGRADO ECORREGIÓN CANAL DEL DIQUE</t>
        </r>
      </text>
    </comment>
    <comment ref="C1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ORDENAMIENTO Y MANEJO INTEGRADO ZONA COSTERA Y CIENAGA DE LA VIRGEN</t>
        </r>
      </text>
    </comment>
    <comment ref="C1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ORDENAMIENTO Y MANEJO INTEGRADO DE LA ECORREGION MONTES DE MARÍA</t>
        </r>
      </text>
    </comment>
    <comment ref="B2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CUERPOS DE AGUA AMBIENTALMENTE SANOS</t>
        </r>
      </text>
    </comment>
    <comment ref="C2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GESTIÓN DE AGUAS SUBTERRÁNEAS</t>
        </r>
      </text>
    </comment>
    <comment ref="C2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CONSERVACIÓN DE AGUAS SUPERFICIALES</t>
        </r>
      </text>
    </comment>
    <comment ref="B2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BOSQUES Y MANGLARES COMO HABITAT DE BIODIVERSIDAD</t>
        </r>
      </text>
    </comment>
    <comment ref="C2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GESTION FORESTAL Y ZONAS VERDES</t>
        </r>
      </text>
    </comment>
    <comment ref="C3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REFORESTACION PROTECTORA PRODUCTORA</t>
        </r>
      </text>
    </comment>
    <comment ref="C3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IMPLEMENTACIÓN DE LA ZONIFICACIÓN DEL MANGLAR</t>
        </r>
      </text>
    </comment>
    <comment ref="C32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CONSERVACIÓN, USO Y MANEJO DE FAUNA SILVESTRE </t>
        </r>
      </text>
    </comment>
    <comment ref="B42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SOSTENIBILIDAD DEL DESARROLLO URBANO Y RURAL</t>
        </r>
      </text>
    </comment>
    <comment ref="C42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MANEJO DE RESIDUOS URBANOS</t>
        </r>
      </text>
    </comment>
    <comment ref="C43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IMPLEMENTACIÓN DE PROCESOS PRODUCTIVOS LIMPIOS URBANO Y RURAL</t>
        </r>
      </text>
    </comment>
    <comment ref="B5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MEJOR GESTIÓN AMBIENTAL</t>
        </r>
      </text>
    </comment>
    <comment ref="C5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GESTIÓN DE LOS RECURSOS NATURALES</t>
        </r>
      </text>
    </comment>
    <comment ref="C52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PLANEACIÓN Y ORDENAMIENTO TERRITORIAL</t>
        </r>
      </text>
    </comment>
    <comment ref="C53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LABORATORIO DE CALIDAD AMBIENTAL</t>
        </r>
      </text>
    </comment>
    <comment ref="C54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SISTEMA DE INFORMACIÓN AMBIENTAL</t>
        </r>
      </text>
    </comment>
    <comment ref="C55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DESARROLLO CORPORATIVO</t>
        </r>
      </text>
    </comment>
    <comment ref="C56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FORTALECIMIENTO DEL SINA</t>
        </r>
      </text>
    </comment>
    <comment ref="B6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EDUCACIÓN AMBIENTAL</t>
        </r>
      </text>
    </comment>
    <comment ref="C6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ASESORÍA Y APOYO PROYECTOS INSTOTUCIONALES Y COMUNITARIOS</t>
        </r>
      </text>
    </comment>
    <comment ref="C6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CONSTRUCCIÓN DE UNA CULTURA AMBIENTAL DESDE LAS ESCUELAS Y LA COMUNIDAD EN GENERAL Y SU ETORNO</t>
        </r>
      </text>
    </comment>
    <comment ref="B77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PARQUE NATURAL DISTRITAL CIÉNAGA DE LA VIRGEN</t>
        </r>
      </text>
    </comment>
    <comment ref="C77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RECUPERACIÓN Y CONSERVACIÓN DEL PARQUE NATURAL DISTRITAL CIÉNAGA DE LA VIRGEN</t>
        </r>
      </text>
    </comment>
    <comment ref="B1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19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2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28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4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41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5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50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67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67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  <comment ref="B76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En el PAT 2007-2009, Cardique plantea la ejecución de 7 programas</t>
        </r>
      </text>
    </comment>
    <comment ref="C76" authorId="0">
      <text>
        <r>
          <rPr>
            <b/>
            <sz val="8"/>
            <rFont val="Tahoma"/>
            <family val="2"/>
          </rPr>
          <t>yesid:</t>
        </r>
        <r>
          <rPr>
            <sz val="8"/>
            <rFont val="Tahoma"/>
            <family val="2"/>
          </rPr>
          <t xml:space="preserve">
Conforme al PAT 2007 - 2009, cada programa esta integrado por uno o varios proyectos, Cardique plantea la ejecución de 21 proyectos</t>
        </r>
      </text>
    </comment>
  </commentList>
</comments>
</file>

<file path=xl/sharedStrings.xml><?xml version="1.0" encoding="utf-8"?>
<sst xmlns="http://schemas.openxmlformats.org/spreadsheetml/2006/main" count="2484" uniqueCount="1009">
  <si>
    <t>Montaje de un Sistema de Monitoreo de Aguas Subterráneas (Acuíferos de Turbaco y Arroyo Grande)</t>
  </si>
  <si>
    <t>Arreglo (uno) y mantenimiento a los (cinco) pozos de la red de monitoreo de las aguas subterráneas de Mamonal</t>
  </si>
  <si>
    <t>Número de concesiones de agua para sectores productivos</t>
  </si>
  <si>
    <t xml:space="preserve"> (2A) INDICADORES</t>
  </si>
  <si>
    <t>Elaboración  de planes de manejo y ordenamiento del recursos hídrico en las ecorregiones</t>
  </si>
  <si>
    <t>Número de habitantes abastecidos cuencas abastecedoras de acueductos priorizadas con paln de ordenacion y manejo formulado y/o en ejecución</t>
  </si>
  <si>
    <t>Corrientes hídricas reglamentadas por la corporacion con relación a las cuencas priorizadas (10)</t>
  </si>
  <si>
    <t>Número de cuencas abastecedoras de acueductos priorizadas con plan de ordenación y manejo formulado y/o en ejecución</t>
  </si>
  <si>
    <t>Diseñar estrategia para cobro de tasa por uso y tasa retributiva a usuarios identificados</t>
  </si>
  <si>
    <t>Realización de trabajos manuales para la restauración hidrodinámica</t>
  </si>
  <si>
    <t>Población beneficiada por la realización de obras de contención de deslizamientos e inundaciones</t>
  </si>
  <si>
    <t>Mantenimiento de canales pluviales del área de la jurisdicción (con énfasis en los urbanos del distrito de Cartagena)</t>
  </si>
  <si>
    <t>Total</t>
  </si>
  <si>
    <t>Reglamentación de corrientes para el uso eficiente del recurso hídrico</t>
  </si>
  <si>
    <t>Apoyar a los municipios en su actualización catastral</t>
  </si>
  <si>
    <t>Mantenimiento equipos del SIG</t>
  </si>
  <si>
    <t>Implementación del Plan de desarrollo informático</t>
  </si>
  <si>
    <t>porentaje</t>
  </si>
  <si>
    <t>Generación de base cartográfica</t>
  </si>
  <si>
    <t xml:space="preserve">Adquisición de imágenes satelitales SPOT de la jurisdicción </t>
  </si>
  <si>
    <t>Seguimiento y monitoreo a los cuerpos de agua del Distrito de Cartagena.</t>
  </si>
  <si>
    <t>Seguimiento y monitoreo a los cuerpos de agua y lagunas que se interconectan en el Distrito de Cartagena.</t>
  </si>
  <si>
    <t>PSMV en seguimiento por parte de la corporacion con referencia al numero de cabeceras identificadas (11)</t>
  </si>
  <si>
    <t>Instalación de 4 estaciones metereológicas o limnimétricas</t>
  </si>
  <si>
    <t>Cálculo de los indices de escasez de las cuencas hidrográficas del área de jurisdicción</t>
  </si>
  <si>
    <t>Realización de requerimientos y seguimiento a los  PSMV</t>
  </si>
  <si>
    <t>número de municipios atendidos</t>
  </si>
  <si>
    <t xml:space="preserve">Mejoramiento hidrodinámico de cuerpos de agua </t>
  </si>
  <si>
    <t xml:space="preserve">Establecimiento de rondas de protección de los principales cauces que se encuentran en la jurisdicción para su posterior incorporación en los POT </t>
  </si>
  <si>
    <t>Creación de la oficina forestal  (DEF)</t>
  </si>
  <si>
    <t>oficina creada (Departamento Especial Forestal)</t>
  </si>
  <si>
    <t>Estudio del Impacto del hongo que viene afectando al aguacate sobre los ecosistemas boscosos de los Montes de Maria en cooperación horizontal conel ICA</t>
  </si>
  <si>
    <t>Realización de seguimiento a los Permisos de Aprovechamiento Forestal (PAF)</t>
  </si>
  <si>
    <t>metros cubicos</t>
  </si>
  <si>
    <t xml:space="preserve">Realización de Operativos de control y vigilancia para contrarrestar la tala indiscriminada, tráfico y comercialización de flora </t>
  </si>
  <si>
    <t>Construcción y Mantenimiento del vivero  Cardique.</t>
  </si>
  <si>
    <t>Consolidación y recuperación de áreas de espacio público en la jurisdicción.</t>
  </si>
  <si>
    <t>Levantamiento de la información sobre la cantidad, calidad, tipo, generadores, manejo y disposición final de los residuos peligrosos</t>
  </si>
  <si>
    <t>Línea base RESPEL por sector productivo</t>
  </si>
  <si>
    <t>Número de registros generados de residuos o desechos en la jurisdicción (25)</t>
  </si>
  <si>
    <t>Apoyo a trabajos de grado en la Gestión Integral de Residuos Peligrosos</t>
  </si>
  <si>
    <t>Trabajos de grados realizados</t>
  </si>
  <si>
    <t>Formulación de un plan para promover la gestión integral de residuos o desechos peligrosos en el áea de la jurisdicción</t>
  </si>
  <si>
    <t>Plan formulado</t>
  </si>
  <si>
    <t>Implementar un programa piloto para la gestión integral de residuos o desechos peligrosos en el áea de jurisdicción</t>
  </si>
  <si>
    <t>Capacitación y asesoría técnica en programas de producción más limpia en los hospitales del área de jurisdicción</t>
  </si>
  <si>
    <t xml:space="preserve">Realización de actividades informativas de sensibilización y educativas para promover la gestión integral de residuos o desechos peligrosos en el área de la jurisdicción  </t>
  </si>
  <si>
    <t>Número de actividades informativas realizadas</t>
  </si>
  <si>
    <t>Ecosistemas estrategicos con planes de manejo en ejecución</t>
  </si>
  <si>
    <t>áreas protegidas declardas dentro del área de la jurisdiccón (1)</t>
  </si>
  <si>
    <t>Especies de la flora amenazadas con planes de conservación en ejecución</t>
  </si>
  <si>
    <r>
      <t xml:space="preserve">01.  </t>
    </r>
    <r>
      <rPr>
        <sz val="12"/>
        <rFont val="Arial"/>
        <family val="2"/>
      </rPr>
      <t>GESTIÓN FORESTAL Y ZONAS VERDES</t>
    </r>
  </si>
  <si>
    <r>
      <t>02</t>
    </r>
    <r>
      <rPr>
        <sz val="12"/>
        <rFont val="Arial"/>
        <family val="2"/>
      </rPr>
      <t>. REFORESTACIÓN PRODUCTORA – PROTECTORA</t>
    </r>
  </si>
  <si>
    <r>
      <t>03</t>
    </r>
    <r>
      <rPr>
        <sz val="12"/>
        <rFont val="Arial"/>
        <family val="2"/>
      </rPr>
      <t>. IMPLEMENTACIÓN DE LA ZONIFICACIÓN DEL MANGLAR.</t>
    </r>
  </si>
  <si>
    <r>
      <t>04</t>
    </r>
    <r>
      <rPr>
        <sz val="12"/>
        <rFont val="Arial"/>
        <family val="2"/>
      </rPr>
      <t>. CONSERVACIÓN, USO Y MANEJO DE FAUNA SILVESTRE.</t>
    </r>
  </si>
  <si>
    <t xml:space="preserve">Número de hectareas </t>
  </si>
  <si>
    <t>_</t>
  </si>
  <si>
    <t>Mantenimiento  a la reforestación año anterior</t>
  </si>
  <si>
    <t xml:space="preserve">No de hectareas </t>
  </si>
  <si>
    <t xml:space="preserve">Areas de reforestación con mantenimiento para proteger cuencas abastecedoras. (9) </t>
  </si>
  <si>
    <t>Número de hectáreas con PAF con seguimiento</t>
  </si>
  <si>
    <t>Conservación del patrimonio genético</t>
  </si>
  <si>
    <t>Programa 7</t>
  </si>
  <si>
    <t>Programa 6</t>
  </si>
  <si>
    <t>Construcción de canales para la restauración del manglar</t>
  </si>
  <si>
    <t>hectareas</t>
  </si>
  <si>
    <t>Números de hectáreas</t>
  </si>
  <si>
    <t>Ecosistemas Estratégicos ( Bosques, Humedales, Manglares, etc), con Planes de manejo u ordenación en ejecución (4).</t>
  </si>
  <si>
    <t>unidad</t>
  </si>
  <si>
    <t xml:space="preserve">Número de especies de fauna y flora amenazadas, con Planes de Conservación en ejecución (5). </t>
  </si>
  <si>
    <t xml:space="preserve">Formulación de programas de conservación </t>
  </si>
  <si>
    <t>Plan de uso y manejo de las especies babilla, caiman e icotea</t>
  </si>
  <si>
    <t>Desarrollo de una estructura funcional del programa</t>
  </si>
  <si>
    <t>Desarrollar un programa de educación ambiental con énfasis en la conservación del manglar en la zona costera</t>
  </si>
  <si>
    <t>Vegetalización de áreas mangláricas</t>
  </si>
  <si>
    <t>Implementación del Plan de Manejo de la Zonificacion de los Manglares</t>
  </si>
  <si>
    <t>Estudio de poblaciones naturales para especies amenazadas.</t>
  </si>
  <si>
    <t>Actualización de la zonificación de manglares de la jurisdicción.</t>
  </si>
  <si>
    <t>Áreas protegidas declaradas por laCorporación con planes de manejo en ejecucion (1) y (2)</t>
  </si>
  <si>
    <t>Apoyo a la promoción, creación y consolidación de empresas comunitarias de aseo</t>
  </si>
  <si>
    <t>Cumplimiento promedio de los compromisos establecidos en los PGIRS de la jurisdiccion (19) y cantidad de productos de mercados verdes generados en la jurisdiccion a partir del apoyo de la Car (24)</t>
  </si>
  <si>
    <t>Promover la estructura de comercialización de reciclaje</t>
  </si>
  <si>
    <t>Realizar eventos de Promoción el Plan Nacional de Valoración de Residuos</t>
  </si>
  <si>
    <t>Mnicipios beneficiados con el desarrollo de un programa de sensibilización para la separación en la fuente</t>
  </si>
  <si>
    <t>Diseñar un sistema alternativo de disposición final de residuos acorde a la legislación existente.</t>
  </si>
  <si>
    <t>Sistema diseñado</t>
  </si>
  <si>
    <t>Desarrollo de programa para la producción de abono orgánico</t>
  </si>
  <si>
    <t>Seguimiento en la implementación de los PGIRS municipales</t>
  </si>
  <si>
    <t>Creación y desarrollo de un Programa para la implementación de los PGIRS para municipios menores a 10000 habitantes.</t>
  </si>
  <si>
    <t>Cumplimiento promedio de los compromisos establecidos en los PGIRS de la jurisdiccion (19)</t>
  </si>
  <si>
    <t>Número de Ton de Resisuos sólidos dispuestos en sitios autorizados por la CAR (18)</t>
  </si>
  <si>
    <t>Elaboración de material didáctico para la GIRS</t>
  </si>
  <si>
    <t>Campañas de extension comunitarias en temas de GIRS</t>
  </si>
  <si>
    <t>Apoyar a los municpios en la promoción y celebración del día del reciclador y el reciclaje</t>
  </si>
  <si>
    <t>Apoyo al establecimiento de centros de acopio para residuos sólidos  aprovechables y comercializables</t>
  </si>
  <si>
    <t>Cantidad de productos de mercados verdes generados en la jurisdiccion a partir del apoyo de la Corporación (24)</t>
  </si>
  <si>
    <t xml:space="preserve">Vinculación de estudiantes para prestar el SSE en el campo de Residuos Sólidos. </t>
  </si>
  <si>
    <t>Crear nuevos canales de comercialización para la produccion de abono orgánico en la Jurisdicción.</t>
  </si>
  <si>
    <t>Elaboración de video que registre evidencia del avance de la Corporación en la GIRS en la jursdicción</t>
  </si>
  <si>
    <t xml:space="preserve">Promocionar ante las PyME la implementación de los sistemas de gestión ambiental SGA (ISO 14000). </t>
  </si>
  <si>
    <t>Número de PYMES beneficidas</t>
  </si>
  <si>
    <t>proyectos pilotos de produccion mas limpia de sectores productivos acompañados por la corporacion (15)</t>
  </si>
  <si>
    <t xml:space="preserve">Nùmero </t>
  </si>
  <si>
    <t>Identificar y actualizar nuevas fuentes generadoras de residuos peligrosos.</t>
  </si>
  <si>
    <t>Numero de registro de generadores de Residuos o Desechos peligrosos en la jurisdiccion (25)</t>
  </si>
  <si>
    <t>Implementar estrategias de educación, concientización, control y seguimiento sobre residuos peligrosos.</t>
  </si>
  <si>
    <t>Número de empresas bneficiadas</t>
  </si>
  <si>
    <t>Gestionar proyectos MDL decooperación técnica y financiera internacional</t>
  </si>
  <si>
    <t>Realizar misión ambiental empresarial internacional en temas de RESPEL</t>
  </si>
  <si>
    <t>Promover la gestión adecuada de los acietes usados, PCBs aceites dieléctricos y Agroquímicos)</t>
  </si>
  <si>
    <t>Seguimiento a entidades prestadoras de salud que disponen adecuadamente los residuos hospitalarios.</t>
  </si>
  <si>
    <t>Asesoria y asistencia técnica en la promoción y desarrollo proyectos ecoturísticos</t>
  </si>
  <si>
    <t>Número mMunicpios beneficiados</t>
  </si>
  <si>
    <t>Promoción para la creación de mercados verdes en la jurisdicción</t>
  </si>
  <si>
    <t>Apoyo en la adecuación de zonas con potencial ecoturístico</t>
  </si>
  <si>
    <t>Sensibilización y promoción del proyecto ecoturístico a entidades y comunidades</t>
  </si>
  <si>
    <t>Elaboración de material didactico para mercados verdes</t>
  </si>
  <si>
    <t>Municipuios beneficiados</t>
  </si>
  <si>
    <t>Capacitación en GIRS en áreas con potencial turístico a los grupos o empresas recolectoras</t>
  </si>
  <si>
    <t>Gestionar proyectos de mecanismo de desarrollo limpio</t>
  </si>
  <si>
    <t>Número de proyectos MDL gestioandos</t>
  </si>
  <si>
    <t>Apoyo a la fase diagnóstica en las instituciones prestadoras de salud que se encuentren dentro del convenio de producción más limpia para el desarrollo de este.</t>
  </si>
  <si>
    <t>proyectos pilotos de producción más limpia acompañados por la corporacion (15)</t>
  </si>
  <si>
    <t xml:space="preserve">Seguimiento a la implementación de los PGIRHS </t>
  </si>
  <si>
    <t>Nómero de seguimientos realiz.</t>
  </si>
  <si>
    <t>Elaboración de estudios técnicos rigurosos que permitan dar a conocer los efectos del cambio climático sobre los ecosistemas en las 3 ecorregiones</t>
  </si>
  <si>
    <t>Registro de la calidad de aire en centros poblados mayores de 100000 habitantes y corredores industriales determinado en redes acompañadas por la corporacion (17)</t>
  </si>
  <si>
    <t>Monitorear contaminantes atmosféricos para evaluar los niveles máximos permisibles y declarar los niveles de emergencia estipulados en la norma y los planes de contingencias respectivos en cumplimiento de los decretos 979 de 2005, Resolucion 601 de 2006 y decreto 0627 de 2006</t>
  </si>
  <si>
    <t>PST, PM10, SO2, NO2, O3, CO</t>
  </si>
  <si>
    <t xml:space="preserve">Unidad </t>
  </si>
  <si>
    <t>Toneladas de residuos solidos aprovechados</t>
  </si>
  <si>
    <t>Poblacion involucrada</t>
  </si>
  <si>
    <t>Capacitación, educación ambiental, elaboración de proyectos y apoyo al fortlecimiento empresarial de los grupos de mercados verdes</t>
  </si>
  <si>
    <t>Implementación de logística para la operativización del cumplimiento de la misión de la corporación tales como:  la expedición de licencias ambientales, el control, seguimiento y vigilancia, inspección, patrullaje y retenes,  prestar servicios de asesoria, la comunicación y la participación ciudadana a través de la adquisición de elementos, medicamentos, servicios especializados  para los ejemplares de fauna silvestre, viáticos y gastos de viaje, combustibles, mantenimiento, compra de repuestos que se requieran para los vehículos destinados a tal fin.</t>
  </si>
  <si>
    <t>Número de permisos aprovechamiento y comercialización de fauna</t>
  </si>
  <si>
    <t>Número de botadero a cielo abierto cerrados</t>
  </si>
  <si>
    <t>Número retnes realizados</t>
  </si>
  <si>
    <t>Adquisición de vehículo</t>
  </si>
  <si>
    <t>Diseño de un sistema de alerta temprana por inundaciones de los municipios ribereños del Río Magdalena y Canal del Dique</t>
  </si>
  <si>
    <t>Numero de municipios asesorados por las CAR en formlacon de planes de prevencion y mitigacion de desastres naturales (21)</t>
  </si>
  <si>
    <t>Implementación de un sistema de alerta temprana por inundaciones de los municipios ribereños del Río Magdalena y Canal del Dique</t>
  </si>
  <si>
    <t>Contar con profesionales y expertos en gestión y legislación ambiental, contratación  estatal para poder desarrollar actividades de asesoría en materia de políticas de administración de los recursos naturales, y la prevención y atención de desastres, asi como representar a Cardique judicial y extrajudicialmente</t>
  </si>
  <si>
    <t>01. ORDENAMIENTO Y MANEJO INTEGRADO ECORREGION CANAL DEL DIQUE.</t>
  </si>
  <si>
    <t xml:space="preserve">Montaje de un programa de seguimiento hidrico, ambiental y de riesgo de los principales arroyos de la jurisdicción </t>
  </si>
  <si>
    <t>Apoyo a la Red de Calidad Agua Marina REDCAM</t>
  </si>
  <si>
    <t>Reposicion y modernizacion de equipos de laboratorios (físico - química y microbiología)</t>
  </si>
  <si>
    <t>Adquisicion de insumos y materaiales para funcionamiento del laboratorio</t>
  </si>
  <si>
    <t>Alquiler de un vehiculo</t>
  </si>
  <si>
    <t>Informe de compatibilidad para SEGUIMIENTO financiero PAT 30 06 09 ok.xls</t>
  </si>
  <si>
    <t>Ejecutar el 05/09/2009 23:49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</si>
  <si>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</si>
  <si>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</si>
  <si>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</si>
  <si>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</si>
  <si>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AVANCE PAT METAS FISICAS Y FINANCIERAS POR PROYECTOS Y PROGRAMAS</t>
  </si>
  <si>
    <t>Porcentaje sin Ponderación</t>
  </si>
  <si>
    <t>Porcentaje con Ponderación</t>
  </si>
  <si>
    <t>Programa 2</t>
  </si>
  <si>
    <t>Programa 3</t>
  </si>
  <si>
    <t>Proyecto 4</t>
  </si>
  <si>
    <t>Programa 4</t>
  </si>
  <si>
    <t>Programa 5</t>
  </si>
  <si>
    <t>Proyecto 5</t>
  </si>
  <si>
    <t>Proyecto 6</t>
  </si>
  <si>
    <t>Diseño del Laboratorio para Bioensayos</t>
  </si>
  <si>
    <t xml:space="preserve">Adquisición de equipos para el control ambiental (aire, agua y suelo) en cumplimiento del ejercicio misional en los municipios del área de jurisdicción </t>
  </si>
  <si>
    <t xml:space="preserve">Monitoreos </t>
  </si>
  <si>
    <t>Cumplimiento promedio de metas de reduccion de carga contaminante, en aplicación de la TR, en las cuencas o tramos de cuencas de la jurisdiccion (SST/DBO) (14)</t>
  </si>
  <si>
    <t>Cumplimiento promedio de los compromisos definidos en los convenios de prouccion mas limpia y/o agendas ambientales suscritos por la corporacion con sectores productivos (16)</t>
  </si>
  <si>
    <t>Realizar capacitación a funcionarios en el manejo de equipos.</t>
  </si>
  <si>
    <t xml:space="preserve">Desarrollar acciones y estudios para implementar la construcción de la linea base de aire, agua y suelo </t>
  </si>
  <si>
    <t>Municipios</t>
  </si>
  <si>
    <t>Actualizacion del predial</t>
  </si>
  <si>
    <t xml:space="preserve">Implementación del sistema de gestión de calidad conforme a la norma ISO 9001 versión 2000 </t>
  </si>
  <si>
    <t>Implementación del sistema de gestión ambiental ISO 14000</t>
  </si>
  <si>
    <t>Formular y desarrollar el Plan de Desarrollo Administrativo - PDA</t>
  </si>
  <si>
    <t>Diseño, adecuación terreno y ampliación de las instalaciones de Cardique (auditorio)</t>
  </si>
  <si>
    <t xml:space="preserve">Adquisición de equipos </t>
  </si>
  <si>
    <t>No de equipos adquiridos</t>
  </si>
  <si>
    <t>Equipos repotenciados</t>
  </si>
  <si>
    <t>Estaciones de trabajo con acceso a intenet</t>
  </si>
  <si>
    <t>Sistema de información implementado en predial (actualización) municipal</t>
  </si>
  <si>
    <t>Municipios con informacion predial actualizada</t>
  </si>
  <si>
    <t>Procesos sistematizados</t>
  </si>
  <si>
    <t>Número de municipios con asesoría para implementar sotfware</t>
  </si>
  <si>
    <t>adquisición e instalación de servidores</t>
  </si>
  <si>
    <t>Adquisición de módulos para el sistema financiero y de planeación corporativo</t>
  </si>
  <si>
    <t>Adquisición e instalación de Ups para las estaciones de trabajo</t>
  </si>
  <si>
    <t>Modernización del Centro de Documentación (salas de video, internet e infantil)</t>
  </si>
  <si>
    <t>Renovación del parque automotor de Cardique</t>
  </si>
  <si>
    <t>Creación de los rincones ambientales  en los centros urbanos de la jurisdicción</t>
  </si>
  <si>
    <t>Apoyo permanente a los rincones ambientales  en los centros urbanos de la jurisdicción</t>
  </si>
  <si>
    <t>Númrto de funcionarios capacitados</t>
  </si>
  <si>
    <t>Número de sistemas implementado</t>
  </si>
  <si>
    <t>Seguimiento a los ajustes en los POT municipales</t>
  </si>
  <si>
    <t>Incorporación al SIG Cardique de los ajustes de los POT de la jurisdición</t>
  </si>
  <si>
    <t>Seguimiento al POT - Expedientes Municipales</t>
  </si>
  <si>
    <t>Número de muninicpios beneficiados</t>
  </si>
  <si>
    <t>Establecimiento de los Lineamientos a partir de estudios tematicos y demas normatividad para el ajuste de los POT</t>
  </si>
  <si>
    <t>Número de municipios asesorados por las Cars en formulacion de planes de prevencion y mitigacion de desastres (21)</t>
  </si>
  <si>
    <t xml:space="preserve">Reglamentación de los suelos suburbanos </t>
  </si>
  <si>
    <t>Número de municipios con inclusion del riesgo en sus POT a partir de determinantes ambientales generados en la Cars (20)</t>
  </si>
  <si>
    <t>Apoyo Planes de Emergencia y Contingencia Municipales</t>
  </si>
  <si>
    <t>Implementación del Sigam dentro del proceso de planificación ambiental</t>
  </si>
  <si>
    <t>Generación de estrategias para establecer proceos de cooperación internacional</t>
  </si>
  <si>
    <t>Toma de fotografías áreas de la jurisdicción de Cardique</t>
  </si>
  <si>
    <t>Actualización de la cartografia digital en la Base SIG Cardique</t>
  </si>
  <si>
    <t>Incorporación al SIG Cardique lo establecido en el plan de ordenamiento forestal</t>
  </si>
  <si>
    <t>Fortalecer el SINA,  a través de la realización de convenios con otras CAR´s de la región, el EPA, con el Distrito, los municipios de la jurisdicción otros entes a nivel departamental, Regional y Nacional como el MAVDT, la academia, gremios, ONGs y Asocars.</t>
  </si>
  <si>
    <t>Diseño e implementación de la intranet corporativa</t>
  </si>
  <si>
    <t xml:space="preserve">Implementación sistema de gestión electrónica de documentos </t>
  </si>
  <si>
    <t>Desarrollo de una nueva página WEB</t>
  </si>
  <si>
    <t>Adquisición de software, ArcEditor y mantenimiento de software GIS</t>
  </si>
  <si>
    <t>% de software adquirido y soporte técnico recibido</t>
  </si>
  <si>
    <t>% de desarrollo de la nueva página WEB</t>
  </si>
  <si>
    <t>Publicación en internet de la información espacial</t>
  </si>
  <si>
    <t>% de información espacial disponible a usuarios externos.</t>
  </si>
  <si>
    <t>Apoyo humano implementacion SIG</t>
  </si>
  <si>
    <t>Apoyo a Asocars en las acciones para el mejoramiento de la cooperación horizontal y demás compromisos adquiridos frente a las CARs</t>
  </si>
  <si>
    <t xml:space="preserve">Aportes a ASOCAR’s, conforme a sus estatutos y establecer convenios en virtud de lo establecido en el literal c del articulo 27 de la ley 99 de 1993. </t>
  </si>
  <si>
    <t>Apoyo en la formulación, adopción e implementación del Plan de Educación Ambiental  Departamental.</t>
  </si>
  <si>
    <t>Asesoría y seguimiento de los Planes de Educación Ambiental  Municipal.</t>
  </si>
  <si>
    <t>Asesoria y acompañamiento a los Comités Tècnicos Interinstitucionales  de Educación Ambiental Municipal.</t>
  </si>
  <si>
    <t>Formación y capacitación de funcionarios de los entes territoriales</t>
  </si>
  <si>
    <t>Concientización y sensiblilización del panorama y áreas de amenazas en los municipios con PLECs formuados</t>
  </si>
  <si>
    <t>Construcción participativa del panorama de áreas y  amenazas y gestión de riesgos en los POT</t>
  </si>
  <si>
    <t>Inclusión de la dimensión ambiental en el desarrollo de proyectos ecoturísticos.</t>
  </si>
  <si>
    <t>Elaboración de material educativo  de acuerdo a las necesidades del caso.</t>
  </si>
  <si>
    <t>Divulgación de mensajes institucionales por radio comunitaria.</t>
  </si>
  <si>
    <t xml:space="preserve">Adquisicón de una Unidad Móvil equipada para labores de educación ambiental </t>
  </si>
  <si>
    <r>
      <t>01</t>
    </r>
    <r>
      <rPr>
        <sz val="12"/>
        <rFont val="Arial"/>
        <family val="2"/>
      </rPr>
      <t>. ASESORÍA Y APOYO A PROYECTOS INSTITUCIONALES Y COMUNITARIOS</t>
    </r>
  </si>
  <si>
    <r>
      <t>02. C</t>
    </r>
    <r>
      <rPr>
        <sz val="12"/>
        <rFont val="Arial"/>
        <family val="2"/>
      </rPr>
      <t>ONSTRUCCIÓN DE UNA CULTURA AMBIENTAL DESDE LAS ESCUELAS Y LA CUMINIDAD EN GENERAL Y SU ENTORNO.</t>
    </r>
  </si>
  <si>
    <t>0.6. EDUCACION AMBIENTAL</t>
  </si>
  <si>
    <t>Promoción y celebración de eventos y conmemoración de fechas del calendario ambiental.</t>
  </si>
  <si>
    <t>Promoción y asesoría al Servicio Social Ambiental.</t>
  </si>
  <si>
    <t>Programa de formación en gestión ambiental comunitaria, local y regional.</t>
  </si>
  <si>
    <t>Fortalecimiento de proyectos comunitarios de educación ambiental.</t>
  </si>
  <si>
    <t>Socializar y legitimar el Plan de Manejo Ambiental</t>
  </si>
  <si>
    <t>Capacitación en temas de educación ambiental relacionados</t>
  </si>
  <si>
    <t>Apoyo a proyectos productivos comunitarios</t>
  </si>
  <si>
    <t>Seguimieto y monitoreo de la implementación del PMA</t>
  </si>
  <si>
    <t>Formulacion de los perfiles de proyectos que conlleven al mejoramiento hidraulico y al saneamiento ambiental de los arroyos y canales que vierten hacia la cienaga de la virgen</t>
  </si>
  <si>
    <t>Interventorias de proyectos, obras o actividades</t>
  </si>
  <si>
    <t>Numero de personas capacitadas sobre mecanismo de participación y veeduría ciudadana.</t>
  </si>
  <si>
    <t>Numero de programas de formación realizados</t>
  </si>
  <si>
    <t>Numero de proyectos comunitarios impulsados y fortalecidos.</t>
  </si>
  <si>
    <t>Socialización de las políticas ambientales nacionales.</t>
  </si>
  <si>
    <t>Numero de políticas ambientales divulgadas.</t>
  </si>
  <si>
    <t>Número de personas</t>
  </si>
  <si>
    <t>Empresas beneficiadas</t>
  </si>
  <si>
    <t>Número de programas de educación ambiental realizados</t>
  </si>
  <si>
    <t>03. ORDENAMIENTO Y MANEJO INTEGRADO ECORREGION MONTES DE MARIA.</t>
  </si>
  <si>
    <t>1, ECORREGIONES ESTRATEGICAS PRIORIDAD AMBIENTAL</t>
  </si>
  <si>
    <t>Número de personas beneficiadas</t>
  </si>
  <si>
    <t>Monitoreo realizado</t>
  </si>
  <si>
    <t>M3 de madera explotada con permiso de aprovechamiento forestal</t>
  </si>
  <si>
    <t>Metros lineales</t>
  </si>
  <si>
    <t>Operativos realizados</t>
  </si>
  <si>
    <t>Número de especies amenazadas con programas de conservación formulados y en ejecución</t>
  </si>
  <si>
    <t>Cantidad de proyectos con seguimiento (licencias ambientales, concesiones de agua,  aprovechamiento Forestal, emisiones atmosféricas, permisos de vertimiento) con referencia a la totalidad de proyectos activos con licencias, permisos y/o autorizaciones otorgados por la CAR (22).</t>
  </si>
  <si>
    <t xml:space="preserve">Número </t>
  </si>
  <si>
    <t>Corrientes hídricas reglamentadas por la Corporación con relación a las cuencas priorizadas (10)</t>
  </si>
  <si>
    <t>Número</t>
  </si>
  <si>
    <t>Cuencas con planes de ordenación y manejo en ejecución (7)</t>
  </si>
  <si>
    <t xml:space="preserve">Hectáreas </t>
  </si>
  <si>
    <t>Porcentaje</t>
  </si>
  <si>
    <t>Grado de implementación del POMCA del Canal del Dique</t>
  </si>
  <si>
    <t>Estrategia regional frente al tema ecoturístico</t>
  </si>
  <si>
    <t>Proyecto propuesto</t>
  </si>
  <si>
    <t>(17) OBSERVACIONES</t>
  </si>
  <si>
    <t>(11) META FINANCIERA ANUAL ($)</t>
  </si>
  <si>
    <t>(3) META FISICA ANUAL (Según unidad de medida)</t>
  </si>
  <si>
    <t>(4) AVANCE DE LA META FISICA  (Según unidad de medida y Periodo Evaluado)</t>
  </si>
  <si>
    <t>Programa 1</t>
  </si>
  <si>
    <t>Ponderación por proyecto</t>
  </si>
  <si>
    <t>Proyecto 1</t>
  </si>
  <si>
    <t>Proyecto 2</t>
  </si>
  <si>
    <t>Proyecto 3</t>
  </si>
  <si>
    <t>Porcentaje sin ponderación</t>
  </si>
  <si>
    <t>Porcentaje con ponderación</t>
  </si>
  <si>
    <t>Proyectos</t>
  </si>
  <si>
    <t xml:space="preserve">Programas </t>
  </si>
  <si>
    <t>CORPORACIÓN AUTÓNOMA REGIONAL DEL CANAL DEL DIQUE - CARDIQUE</t>
  </si>
  <si>
    <t>SUBDIRECCIÓN DE PLANEACIÓN</t>
  </si>
  <si>
    <t xml:space="preserve">(5) PORCENTAJE DE AVANCE FISICO % (Periodo Evaluado) ((4/3)*100)
</t>
  </si>
  <si>
    <t>(6) PORCENTAJE DE AVANCE PROCESO DE GESTION DE LA META FISICA (aplica unicamente para el informe del primer semestre)</t>
  </si>
  <si>
    <t>(8) ACUMULADO DE LA META FISICA (Según unidad de medida)</t>
  </si>
  <si>
    <t xml:space="preserve">(9) PORCENTAJE DE AVANCE  FISICO ACUMULADO % ((8/7)*100)
</t>
  </si>
  <si>
    <t>(10) PONDERACIONES DE PROGRAMAS  Y PROYECTOS (OPCIONAL DE ACUERDO AL PAT)</t>
  </si>
  <si>
    <t xml:space="preserve">(12) AVANCE DE LA META FINANCIERA (Recursos comprometidos periodo Evaluado) ($)
</t>
  </si>
  <si>
    <t>(13) PORCENTAJE DEL AVANCE FINANCIERO % (Periodo Evaluado) ((12/11)*100)</t>
  </si>
  <si>
    <t xml:space="preserve">(15) ACUMULADO DE LA META FINANCIERA $
</t>
  </si>
  <si>
    <t xml:space="preserve">(16) PORCENTAJE DE  AVANCE FINANCIERO ACUMULADO % ((15/14)*100)
</t>
  </si>
  <si>
    <t>COMPORTAMIENTO META FISICA PLAN DE ACCION TRIENAL</t>
  </si>
  <si>
    <t>(2A) INDICADORES</t>
  </si>
  <si>
    <t>2. CUERPOS DE AGUA AMBIENTALMENTE SANOS</t>
  </si>
  <si>
    <t>01. GESTIÓN DE AGUAS SUBTERRÁNEAS</t>
  </si>
  <si>
    <t>Número de hectáreas de cuencas abastecedoras de acueductos priorizadas</t>
  </si>
  <si>
    <t>Pesos</t>
  </si>
  <si>
    <t>02. CONSERVACIÓN DE AGUAS SUPERFICIALES</t>
  </si>
  <si>
    <t>Nº de corrientes hídricas reglamentadas por la Corporación (10)</t>
  </si>
  <si>
    <t>Cumplimiento Normativo Ley 1021/06 Art 9.1</t>
  </si>
  <si>
    <t>Estudio realizado</t>
  </si>
  <si>
    <t>03. BOSQUES Y MANGLARES COMO HÁBITAT DE BIODIVERSIDAD</t>
  </si>
  <si>
    <t>Unidad</t>
  </si>
  <si>
    <t>0.4. SOSTENIBILIDAD DEL DESARRROLLO URBANO Y RURAL</t>
  </si>
  <si>
    <t>01. MANEJO DE RESIDUOS URBANOS</t>
  </si>
  <si>
    <t xml:space="preserve">   (2) UNIDAD DE MEDIDA</t>
  </si>
  <si>
    <t>02. IMPLEMENTACIÓN DE PROCESOS PRODUCTIVOS LIMPIOS, MERCADOS VERDES Y MECANISMO DE DESARROLLO LIMPIO.</t>
  </si>
  <si>
    <t>Numero de planes  apoyados para su adopción</t>
  </si>
  <si>
    <t>Numero de planes apoyados en su diseño</t>
  </si>
  <si>
    <t>Numero de planes apoyados en su implementación.</t>
  </si>
  <si>
    <t xml:space="preserve">Número de planes asistidos </t>
  </si>
  <si>
    <t>Número de funcionarios capacitadas.</t>
  </si>
  <si>
    <t>Número de unidades móviles adquiridas</t>
  </si>
  <si>
    <t>% de equipos repotenciados</t>
  </si>
  <si>
    <t>% de estaciones de trabajo con acceso a intenet</t>
  </si>
  <si>
    <t>Número de procesos sistematizados</t>
  </si>
  <si>
    <t>Número de impresoras de red</t>
  </si>
  <si>
    <t>Número de habitantes abastecidos por cuencas priorizadas</t>
  </si>
  <si>
    <t>Número de cuencas abastecedoras de acueductos priorizadas</t>
  </si>
  <si>
    <t>Número de hectáreas de cuencas abastecedoras de acueductos priorizadas con planes de ordenacion y manejo formulado y/o en ejeciución</t>
  </si>
  <si>
    <t>Porcentaje de municipios beneficiados según ajustes a los POT</t>
  </si>
  <si>
    <t>Número de áreas del laboratorio intervenidas</t>
  </si>
  <si>
    <t>Número de adquisiciones realizadas</t>
  </si>
  <si>
    <t>Número de permisos  de emisiones atmosfericas otorgadas</t>
  </si>
  <si>
    <t>Número de permisos  de emisiones atmosfericas con seguimiento</t>
  </si>
  <si>
    <t>Número de publicaciones realizadas</t>
  </si>
  <si>
    <t>Número de mantenimientos realizados</t>
  </si>
  <si>
    <t>Número de usuarios productivos con cobro de tasa por uso de agua</t>
  </si>
  <si>
    <t>Caracterización y diagnóstico elaborado</t>
  </si>
  <si>
    <t>Numero de PDA formulados y con seguimiento</t>
  </si>
  <si>
    <t>Número de diseños realizados</t>
  </si>
  <si>
    <t>Número de sistemas implementados</t>
  </si>
  <si>
    <t>Número de adquisición e instalación de servidores</t>
  </si>
  <si>
    <t>Número de módulos adquiridos</t>
  </si>
  <si>
    <t>Número de intervenciones para la modernización</t>
  </si>
  <si>
    <t>Número de coleciones adquiridas</t>
  </si>
  <si>
    <t>Número de rincones ambientales creados</t>
  </si>
  <si>
    <t>Accesibilidad y democratización a la  información ambiental oportuna y eficiente</t>
  </si>
  <si>
    <t>Número de convenios sucritos</t>
  </si>
  <si>
    <t>Número de rincones ambientales apoyados</t>
  </si>
  <si>
    <t>Número de fuentes puntuales</t>
  </si>
  <si>
    <t>Sofware funcionando</t>
  </si>
  <si>
    <t>Caudal de agua concesionada para sectores productivos en m3</t>
  </si>
  <si>
    <t>Número de concesionesde agua superficial y subterránea otorgados para centros poblados</t>
  </si>
  <si>
    <t>Número de fuentes puntuales de vertimiento de agua residuales (doméstica y de los sectores productivos identificadas)</t>
  </si>
  <si>
    <t xml:space="preserve">Indices calculados </t>
  </si>
  <si>
    <t>Caudal de agua superficial y subterránea concesionada para centros poblados, m3/seg</t>
  </si>
  <si>
    <t>Vivero construido</t>
  </si>
  <si>
    <t>Diseño elaborado</t>
  </si>
  <si>
    <t>Estudios realizados</t>
  </si>
  <si>
    <t>SIGAM Socializado</t>
  </si>
  <si>
    <t>Mecanismo seleccionado</t>
  </si>
  <si>
    <t xml:space="preserve">Número de concesiones de agua </t>
  </si>
  <si>
    <t>Monitoreo continuo en ejecución</t>
  </si>
  <si>
    <t>Número de empresas apoyadas</t>
  </si>
  <si>
    <t>Número de eventos de promoción</t>
  </si>
  <si>
    <t>Número de pozos funcionando</t>
  </si>
  <si>
    <t>Número de canales con mantenimiento</t>
  </si>
  <si>
    <t>Número de actividades desarrolladas</t>
  </si>
  <si>
    <t>Población beneficiada por sistema de alerta temprana en deslizamientos e inundaciones</t>
  </si>
  <si>
    <t>Número de planes de manejo forestal</t>
  </si>
  <si>
    <t>Número de visitas de control y seguimiento</t>
  </si>
  <si>
    <t>Número de operativos de control y vigilancia</t>
  </si>
  <si>
    <t>Implementación del Plan de Educación Ambiental  Departamental.</t>
  </si>
  <si>
    <t>Fortalecer a los Comités Tècnicos Interinstitucionales  de Educación Ambiental Municipal.</t>
  </si>
  <si>
    <t>Nùmero de funcionarios de los entes territoriales capacitados en la politica de educación ambiental</t>
  </si>
  <si>
    <t>Número de eventos realizados</t>
  </si>
  <si>
    <t>Número de municipios beneficiados</t>
  </si>
  <si>
    <t>Número de fuentes identificadas</t>
  </si>
  <si>
    <t>Cantidad en toneladas de RH dispuesto adecuadamente</t>
  </si>
  <si>
    <t xml:space="preserve">   (2)                                                                  UNIDAD DE MEDIDA</t>
  </si>
  <si>
    <t>02. ORDENAMIENTO Y MANEJO INTEGRADO ZONA COSTERA Y CIENAGA DE LA VIRGEN</t>
  </si>
  <si>
    <t>01. GESTIÓN DE LOS RECURSOS NATURALES.</t>
  </si>
  <si>
    <t>04. SISTEMA DE INFORMACIÓN AMBIENTAL.</t>
  </si>
  <si>
    <t>05. DESARROLLO CORPORATIVO</t>
  </si>
  <si>
    <t>06. FORTALECIMIENTO DEL SINA.</t>
  </si>
  <si>
    <t>Número de sistema diseñados</t>
  </si>
  <si>
    <t>Numero de personas beneficiadas</t>
  </si>
  <si>
    <t>Número de licencias expedidas</t>
  </si>
  <si>
    <t>Numero de permisos de vertimiento</t>
  </si>
  <si>
    <t>Número permisos para residuos especiales</t>
  </si>
  <si>
    <t>Número de viabilidad para planes ambientales</t>
  </si>
  <si>
    <t>Número de proyectos de mecanismo de desarrollo limpio (MDL) en gestión</t>
  </si>
  <si>
    <t>Misión ambiental realizada</t>
  </si>
  <si>
    <t xml:space="preserve">Fase diagnóstica </t>
  </si>
  <si>
    <t>Número de monitoreos realizados</t>
  </si>
  <si>
    <t>Numero de parámetros acreditados</t>
  </si>
  <si>
    <t>Número programa desarrollado</t>
  </si>
  <si>
    <t>Número ediciones realizadas</t>
  </si>
  <si>
    <t>Número video elaborado</t>
  </si>
  <si>
    <t>Número municipios apoyados</t>
  </si>
  <si>
    <t>Número municipios beneficiados</t>
  </si>
  <si>
    <t>Número proyectos MDL gestionados</t>
  </si>
  <si>
    <t>Número zonas con potencial ecoturístico apoyadas</t>
  </si>
  <si>
    <t xml:space="preserve">Número de grupos identificados fortalecidos </t>
  </si>
  <si>
    <t>Número de grupos o empresas recolectoras apoyadas con capacitación</t>
  </si>
  <si>
    <t>Número de estudios elaborados</t>
  </si>
  <si>
    <t>Una red de calidad  en operación</t>
  </si>
  <si>
    <t>Número de talleres de seguimiento y evaluación  realizados.</t>
  </si>
  <si>
    <t>Instalar y poner en marcha la red de calidad de aire en la jurisdicción de Cardique</t>
  </si>
  <si>
    <t>Número de municipios asesorados.</t>
  </si>
  <si>
    <t>Número de personas vinculadas y beneficiadas.</t>
  </si>
  <si>
    <t>Número de planes con seguimiento.</t>
  </si>
  <si>
    <t>Número de talleres realizados.</t>
  </si>
  <si>
    <t>Número de CIDEAS  asesorados y con seguimiento.</t>
  </si>
  <si>
    <t xml:space="preserve">Número de cursos de capacitación </t>
  </si>
  <si>
    <t>Número de municipios participantes.</t>
  </si>
  <si>
    <t>Número de municipios vinculados.</t>
  </si>
  <si>
    <t>Número de personas capacitadas en gestión de riesgos naturales.</t>
  </si>
  <si>
    <t>Número de eventos de socialización realizados.</t>
  </si>
  <si>
    <t>Numero de publicaciones realizadas.</t>
  </si>
  <si>
    <t>numero de capacitación realizada</t>
  </si>
  <si>
    <t>Un PMA socializado</t>
  </si>
  <si>
    <t>Número de proyectos apoyados</t>
  </si>
  <si>
    <t>Numero de monitoreso realizados</t>
  </si>
  <si>
    <t>Numero de interventorias realizadas</t>
  </si>
  <si>
    <t>Población beneficiada</t>
  </si>
  <si>
    <t>Número de proyectos de mercados verdes promovidos, en el marco de una estrategia regional</t>
  </si>
  <si>
    <t>Número de mensajes institucionales divulgados.</t>
  </si>
  <si>
    <t>Número de emisoras vinculadas.</t>
  </si>
  <si>
    <t>Número de festivales culturales ambientales realizados.</t>
  </si>
  <si>
    <t>Número de fechas ambientales celebradas.</t>
  </si>
  <si>
    <t>Número de instituciones educativas beneficiadas.</t>
  </si>
  <si>
    <t>0.5. MEJOR GESTIÓN AMBIENTAL</t>
  </si>
  <si>
    <t>Vehículos adquiridos</t>
  </si>
  <si>
    <t>Número de personas capacitadas en gestión de riesgos naturales</t>
  </si>
  <si>
    <t>Fortalecimiento administrativo y misional corporativo</t>
  </si>
  <si>
    <t>Número de  de instalación de UPS adquiridas</t>
  </si>
  <si>
    <t>02. PLANEACIÓN  Y ORDENAMIENTO TERRITORIAL</t>
  </si>
  <si>
    <t>Número de municipios con planes de ordenamiento territorial ajustado</t>
  </si>
  <si>
    <t>Mejoramiento hidráulico de canales internos</t>
  </si>
  <si>
    <t>Recuperación y Conservación del Parque Natural Distrital Ciénaga de la Virgen</t>
  </si>
  <si>
    <t>PARQUE NATURAL DISTRITAL CIÉNAGA DE LA VIRGEN</t>
  </si>
  <si>
    <t>Restauración y actualización de la colección seca del Bs-T</t>
  </si>
  <si>
    <t>Construcción de una estartegia (Plan de Acción) para la protección del Bosque Seco Tropical y su sistema lagunar conexo</t>
  </si>
  <si>
    <t>Conformación y consolidación de un área protegida regional con fines de conservación.</t>
  </si>
  <si>
    <t>Construcción de un modelo de restauración y conservación en tierras privadas (Ganaderas)</t>
  </si>
  <si>
    <t>ACCIONES OPERATIVAS</t>
  </si>
  <si>
    <t xml:space="preserve">Socialización e implementación del POMCA de la Ciénaga de la Virgen </t>
  </si>
  <si>
    <t>Implementar un Programa de Control, Monitoreo y Seguimiento al POMCA</t>
  </si>
  <si>
    <t>Desarrollo de estudios de corto plazo prioritarias en el POMCA Ciénaga de la Virgen</t>
  </si>
  <si>
    <t>Socialización del estudio “Evaluación Ambiental Estratégica de la Ecorregión Zona Costera”</t>
  </si>
  <si>
    <t>Elaboración del Plan de Ordenamiento Forestal de la Ecorregión</t>
  </si>
  <si>
    <t>Establecimiento del mecanismo para la implementación del SIGAM</t>
  </si>
  <si>
    <t>Adopción del POMCA del Canal del Dique</t>
  </si>
  <si>
    <t>Seguimiento del POMCA del Canal del Dique</t>
  </si>
  <si>
    <t>Formulación del SIGAM Insular</t>
  </si>
  <si>
    <t>Identificación de acciones para disminuir la desertificación de acuerdo a los lineamientos del MAVDT</t>
  </si>
  <si>
    <t>INDICADORES</t>
  </si>
  <si>
    <t>Levantamiento de la línea base en terminos de calidad del recurso hídrico en los humedales del Canal del Dique</t>
  </si>
  <si>
    <t>Corrientes hidricas reglamentadas por la Corporacion con relacion alas cuencas priorizadas (10) .</t>
  </si>
  <si>
    <t>Cuencas con planes de ordenacion y manejo Formulados (6)</t>
  </si>
  <si>
    <t>Cuencas con planes de ordenacion y manejo en ejecucion (7)</t>
  </si>
  <si>
    <t>Plan General de ordenación forestal de la Jurisdiccion de la Corporacion formulado(3)</t>
  </si>
  <si>
    <t>Diseño de la estructura funcional  para la articulación en el proceso de implemntación del POMCA Canal del Dique en temas Ecoturisticos</t>
  </si>
  <si>
    <t>Muncipios con un Sistema de Gestion Ambiental SIGAM en ejecucion</t>
  </si>
  <si>
    <t>Implementacion del SIGAM (dos acciones priorizadas a partir de los talleres regionales del MAVDT)</t>
  </si>
  <si>
    <t>Dos acciones priorizadas y ejecutas</t>
  </si>
  <si>
    <t>Formulación participativa de un proyecto para el desarrollo sostenible de la región frente al tema de BIOCOMERCIO</t>
  </si>
  <si>
    <t>(2) UNIDAD DE MEDIDA</t>
  </si>
  <si>
    <t>Socialización del SIGAM en la jurisdicción de Cardique</t>
  </si>
  <si>
    <t>Corrientes hídricas reglamentadas por la Corporación con relación a las cuencas priorizadas (10) .</t>
  </si>
  <si>
    <t xml:space="preserve">CORPORACIÓN AUTÓNOMA REGIONAL DEL CANAL DEL DIQUE - CARDIQUE
MATRIZ DE SEGUIMIENTO DEL PLAN DE ACCIÓN TRIENAL PAT 2007 2009 (AVANCE EN LAS METAS FÍSICAS Y FINANCIERAS) </t>
  </si>
  <si>
    <t>Formulación concertada de la propuesta de un Sistema Regional de Áreas Protegidas (Sirap- Cardique)</t>
  </si>
  <si>
    <t>Areas protegidas declaradas dentro del area de la jurisdiccion (1)</t>
  </si>
  <si>
    <t>Promocionar las áreas de reserva de la sociedad civil a través de seminarios talleres Ecorregionales</t>
  </si>
  <si>
    <t>Socialización realizada</t>
  </si>
  <si>
    <t>Acciones desarrolladas para disminuir los impactos por desertizacion de suelos</t>
  </si>
  <si>
    <t>Realización de un proyecto piloto para valoración económica de servicios ambientales</t>
  </si>
  <si>
    <t>Modelo para la Valoracion economica por servicios ambientales</t>
  </si>
  <si>
    <t>Áreas protegidas declaradas dentro del area de la jurisdiccion (1)</t>
  </si>
  <si>
    <t>Formulación de una propuesta de Plan de Manejo para la ecorregion</t>
  </si>
  <si>
    <t>Ecosistemas estrategicos con planes de manejo en ejecucion (4)</t>
  </si>
  <si>
    <t>Plan general de ordenación forestal de la jurisdiccion de la Corporacion formulado(3)</t>
  </si>
  <si>
    <t>Ecosistemas estratégicos con planes de manejo en ejecucion (4)</t>
  </si>
  <si>
    <t>Areas protegidas declaradas en la jurisdiccion de la Corporación (1).</t>
  </si>
  <si>
    <t>Levantamiento de la línea base en terminos de calidad del recurso hídrico en los humedales de la ecorregión</t>
  </si>
  <si>
    <t>Identificación, delimitación y reglamentación de zonas de recarga de acuíferos</t>
  </si>
  <si>
    <t>Numero</t>
  </si>
  <si>
    <t xml:space="preserve">Sistematización de la red de monitoreo de las aguas subterráneas del área de influencia de Mamonal. </t>
  </si>
  <si>
    <t xml:space="preserve"> (7)  META FISICA QUINQUENAL (Según unidad de medida)</t>
  </si>
  <si>
    <t>Áreas protegidas declaradas dentro del área de la jurisdicción (1)</t>
  </si>
  <si>
    <t>Formulación concertada de la propuesta de un Sistema Local de Áreas Protegidas (SILAP- CARDIQUE)</t>
  </si>
  <si>
    <t>Gestión de proyectos ambientales de cofinanciación en el marco del POMCH - MM</t>
  </si>
  <si>
    <t>Número de municipios con inclusión del riesgo en sus POT a partir de las determinantes ambientales generados en las Cars (20).</t>
  </si>
  <si>
    <t>Gestión de proyectos ambientales de cofinanciación en el marco del POMCH - CD</t>
  </si>
  <si>
    <t>(14) META FINANCIERA QUINQUENAL ($)</t>
  </si>
  <si>
    <t>Gestión de proyectos ambientales de cofinanciación en el marco del POMCH - CV</t>
  </si>
  <si>
    <t>Publicación y divulgación de los programas y proyectos del POMCA Ciénaga de la Virgen</t>
  </si>
  <si>
    <t>Ecosistemas estratégicos con planes de manejo en ejecución (4)</t>
  </si>
  <si>
    <t>Realización de estudios de vulnerabilidad de las aguas subterráneas</t>
  </si>
  <si>
    <t>Formulación de PMA de las aguas subterráneas.</t>
  </si>
  <si>
    <t xml:space="preserve">Lineamientos ambientales la zonificación de uso  de la Bahía de Cartagena 
</t>
  </si>
  <si>
    <t>Mejoramiento hidrodinámico de cuerpos de aguas</t>
  </si>
  <si>
    <t>Instalar  estaciones hidrometeorológicas o ambientales, en los sitios más adecuados, contribuirá en lo climático, ambiental y la atención y prevención de desastres.</t>
  </si>
  <si>
    <t>Plan piloto para la restauración de ecosistemas de bosque seco tropical</t>
  </si>
  <si>
    <t>Convenios para establecer viveros regionales comunitarios</t>
  </si>
  <si>
    <t>Realización de operativos de control y vigilancia para contrarrestar la tala indiscriminada, tráfico y comercialización de la flora nativa</t>
  </si>
  <si>
    <t>Ecosistemas estratégicos (Bosques, Humedales, Manglares, etc), con planes de manejo u ordenación en ejecución (4).</t>
  </si>
  <si>
    <t>Número de parques y zonas verdes</t>
  </si>
  <si>
    <t>Zonas verdes intrvenidas y recuperadas</t>
  </si>
  <si>
    <t>Formulación de Planes de Manejo  de areas priorizadas en la zonificación de los Manglares</t>
  </si>
  <si>
    <t xml:space="preserve">Número de especies de fauna y flora amenazadas, con planes de conservación en ejecución (5). </t>
  </si>
  <si>
    <t>Publicación sobre flora y fauna silvestre</t>
  </si>
  <si>
    <t xml:space="preserve">Implementación plan de uso y manejo de las especies babilla, caiman e icotea </t>
  </si>
  <si>
    <t>Incrementar el aprovechamiento  de los residuos orgánicos</t>
  </si>
  <si>
    <t>Número de Municipios beneficiados</t>
  </si>
  <si>
    <t>Promover en los municipios los canales de comercialización de residuos sólidos</t>
  </si>
  <si>
    <t>Levantamiento de la lìnea base de los productos de Biocomercio de la jurisdición</t>
  </si>
  <si>
    <t>Reconocimiento de sectores productivos de aprovechamiento de residuos inorgánicos en las ecorregiones jurisdicción de Cardique</t>
  </si>
  <si>
    <t xml:space="preserve">Vinculación de instituciones educativas para prestar el SSE en el campo de residuos sólidos. </t>
  </si>
  <si>
    <t>Promover la disposición final regional de los residuos</t>
  </si>
  <si>
    <t>Apoyo a centros de acopio para residuos sólidos  aprovechables</t>
  </si>
  <si>
    <t>Número de ecorregiones beneficiadas</t>
  </si>
  <si>
    <t>Numero de instituciones beneficiadas</t>
  </si>
  <si>
    <t>Diseño e implementación de un software para seguimiento de actividades empresariales en la jurisdicción de Cardique.</t>
  </si>
  <si>
    <t>Diagnóstico ambiental de plaguicidas (tipo de producto, distribuidores, uso, impacto, disposición final) en la jurisdicción de Cardique.</t>
  </si>
  <si>
    <t>Inventario  de fuentes fijas y móviles en el área de Mamonal y Pasacaballos</t>
  </si>
  <si>
    <t>Realizar el mapa de ruidos del área de influencia del complejo industrial de Mamonal</t>
  </si>
  <si>
    <t>Diagnóstico ambiental de actividades portuarias en la Bahía de Cartagena.</t>
  </si>
  <si>
    <t>Número de arroyos intervenidos</t>
  </si>
  <si>
    <t>Sensibilización de las comunidades de la jurisdiccion en cuanto a la preservación de las especies de fauna y flora</t>
  </si>
  <si>
    <t>numero de camapañas de sensibilización realizadas</t>
  </si>
  <si>
    <t>Promoción de la investigación a partir de viveros comunitarios</t>
  </si>
  <si>
    <t>Número de organizaciones  beneficiados</t>
  </si>
  <si>
    <t>Promoción para la construcción de los viveros comuniatrios</t>
  </si>
  <si>
    <t>Número de viveros en operación y seguimiento</t>
  </si>
  <si>
    <t>Número de convenios interinstitucionale en ejecucón</t>
  </si>
  <si>
    <t>Número de instituciones educativas beneficiadas</t>
  </si>
  <si>
    <t>Elaboración y actualización inventario de PRAE</t>
  </si>
  <si>
    <t>Asesoría y acompañamiento a Proyectos ambientales Escolares.</t>
  </si>
  <si>
    <t>Lineamientos para una politica regional de biodiversidad</t>
  </si>
  <si>
    <t>Número de especies de fauna y flora amenazadas, con planes de conservación en ejecución (5)</t>
  </si>
  <si>
    <t>Publicación lineamientos de politica regional de biodiversidad</t>
  </si>
  <si>
    <t>Estudios en priorización para la conservación de ecositemas</t>
  </si>
  <si>
    <t>Expedición botánica en los Montes de María para la articulación de los programas y proyectos del Jardín Botánico "Guillermo Piñeres".</t>
  </si>
  <si>
    <t xml:space="preserve">Mantenimiento y actualización del software para el manejo de datos espaciales del sistema de información geográfica ambiental de Cardique – Sigac- </t>
  </si>
  <si>
    <t>Actualización de Base de Datos CONGONA y construcción de Web Services sobre ArcGIS Server y migración de base de datos CONGONA al sistema de coordenadas Magna-Sirgas, publicación de mapas a la intranet corporativa con el área de Sistema de Información Geográfica en la nueva plataforma ArcGis Server</t>
  </si>
  <si>
    <t>Construcción e implementación del Laboratorio para Bioensayos</t>
  </si>
  <si>
    <t>COMPORTAMIENTO META FISICA PLAN DE ACCION AJUSTADO</t>
  </si>
  <si>
    <t xml:space="preserve">META FINANCIERA PLAN DE ACCION </t>
  </si>
  <si>
    <t>META FINANCIERA PLAN DE ACCION</t>
  </si>
  <si>
    <t>CODIGO</t>
  </si>
  <si>
    <t>DESCRIPCION</t>
  </si>
  <si>
    <t>PRESUPUESTO</t>
  </si>
  <si>
    <t>COMPROMISOS</t>
  </si>
  <si>
    <t>%</t>
  </si>
  <si>
    <t>INVERSION</t>
  </si>
  <si>
    <t>DEFINITIVO</t>
  </si>
  <si>
    <t>EJEC,</t>
  </si>
  <si>
    <t>TOTAL GASTOS DEINVERSION</t>
  </si>
  <si>
    <t>ECORREGIONES ESTRATÉGICAS PRIORIDAD AMBIENTAL</t>
  </si>
  <si>
    <t>100 900</t>
  </si>
  <si>
    <t>ORDENAMIENTO Y MANEJO ECORREGIONES</t>
  </si>
  <si>
    <t>100 900 01</t>
  </si>
  <si>
    <t>Ordenamiento y Manejo Integrado Ecorregión Canal del Dique</t>
  </si>
  <si>
    <t>100 900 02</t>
  </si>
  <si>
    <t>Ordenamiento y Manejo Integrado Ecorregión Zona Costera - Ciénaga de la Virgen</t>
  </si>
  <si>
    <t>100 900 04</t>
  </si>
  <si>
    <t>CUERPOS DE AGUAS AMBIENTALEMENTE SANOS</t>
  </si>
  <si>
    <t>101 901</t>
  </si>
  <si>
    <t>CONSERVACIÓN Y RECUPERACIÓN DE CUERPOS DE AGUA</t>
  </si>
  <si>
    <t>101 901 01</t>
  </si>
  <si>
    <t>Gestión Aguas Subterráneas</t>
  </si>
  <si>
    <t>101 901 02</t>
  </si>
  <si>
    <t>Conservación de Aguas Superficiales</t>
  </si>
  <si>
    <t>BOSQUES Y MANGLARES COMO HÁBITAT DE BIODIVERSIDAD</t>
  </si>
  <si>
    <t>102 902</t>
  </si>
  <si>
    <t>CONSERVACIÓN USO Y MANEJO DE FLORA</t>
  </si>
  <si>
    <t>102 902 01</t>
  </si>
  <si>
    <t>Gestión Forestal y Zonas Verdes</t>
  </si>
  <si>
    <t>102 902 02</t>
  </si>
  <si>
    <t>Reforestación Protectora-Productora</t>
  </si>
  <si>
    <t>102 902 03</t>
  </si>
  <si>
    <t>Implementación de la Zonificación del Manglar</t>
  </si>
  <si>
    <t>102 903</t>
  </si>
  <si>
    <t>CONSERVACIÓN USO Y MANEJO DE FAUNA</t>
  </si>
  <si>
    <t>102 903 01</t>
  </si>
  <si>
    <t>Conservación, Uso y Manejo de la Fauna Silvestre</t>
  </si>
  <si>
    <t>SOSTENIBILIDAD DEL DESARROLLO URBANO Y RURAL</t>
  </si>
  <si>
    <t xml:space="preserve">103 904 </t>
  </si>
  <si>
    <t>CALIDAD DE VIDA URBANA</t>
  </si>
  <si>
    <t>103 904 01</t>
  </si>
  <si>
    <t>Manejo de Residuos Urbanos</t>
  </si>
  <si>
    <t>103 905</t>
  </si>
  <si>
    <t>PRODUCCION LIMPIA</t>
  </si>
  <si>
    <t>103 905 01</t>
  </si>
  <si>
    <t>Implementación de Procesos Productivos Limpios Urbanos y Rural</t>
  </si>
  <si>
    <t>MEJOR GESTION AMBIENTAL</t>
  </si>
  <si>
    <t>104 906</t>
  </si>
  <si>
    <t>APOYO A LA GESTION MUNICIPAL</t>
  </si>
  <si>
    <t>104 906 01</t>
  </si>
  <si>
    <t>Gestión de los Recursos Naturales</t>
  </si>
  <si>
    <t>104 906 02</t>
  </si>
  <si>
    <t>104 907</t>
  </si>
  <si>
    <t>FORTALECIMIENTO INSTITUCIONAL</t>
  </si>
  <si>
    <t>104 907 01</t>
  </si>
  <si>
    <t>Laboratorio de Calidad Ambiental</t>
  </si>
  <si>
    <t>104 907 02</t>
  </si>
  <si>
    <t>Sistema de Información Ambiental</t>
  </si>
  <si>
    <t>104 907 03</t>
  </si>
  <si>
    <t>Consolidación del Desarrollo Corporativo</t>
  </si>
  <si>
    <t>104 907 04</t>
  </si>
  <si>
    <t>Fortalecimiento SINA</t>
  </si>
  <si>
    <t>EDUCACIÓN AMBIENTAL</t>
  </si>
  <si>
    <t>105 908</t>
  </si>
  <si>
    <t xml:space="preserve">105 908 01 </t>
  </si>
  <si>
    <t>Asesoría y Apoyo a proyectos Institucionales y Comunitarios</t>
  </si>
  <si>
    <t xml:space="preserve">105 908 02 </t>
  </si>
  <si>
    <t>Construcción de Cultura Ambiental desde las Escuelas y la Comunidad</t>
  </si>
  <si>
    <t xml:space="preserve">105 908 03 </t>
  </si>
  <si>
    <t>Formación a Dinamizadores y Promotores Ambientales</t>
  </si>
  <si>
    <t>PARQUE NATURAL DISTRITAL DE LA CIÉNAGA DE LA VIRGEN</t>
  </si>
  <si>
    <t>106 909</t>
  </si>
  <si>
    <t xml:space="preserve">Recuperación y Conservación </t>
  </si>
  <si>
    <t>106 909 01</t>
  </si>
  <si>
    <t>03. LABORATORIO DE CALIDAD AMBIENTAL</t>
  </si>
  <si>
    <t>Estudiantes desarrollando en su muncipio acciones encaminadas a desarrollar la GIRS</t>
  </si>
  <si>
    <t>0.1</t>
  </si>
  <si>
    <t>0.2</t>
  </si>
  <si>
    <t>0.3</t>
  </si>
  <si>
    <t>-</t>
  </si>
  <si>
    <t xml:space="preserve">200,000,000  </t>
  </si>
  <si>
    <t xml:space="preserve">30,120,000  </t>
  </si>
  <si>
    <t>Ordenamiento y Manejo Integrado Ecorregión Montes de María</t>
  </si>
  <si>
    <t xml:space="preserve">400,000,000  </t>
  </si>
  <si>
    <t xml:space="preserve">50,000,000  </t>
  </si>
  <si>
    <t xml:space="preserve">500,000,000  </t>
  </si>
  <si>
    <t xml:space="preserve">150,000,000  </t>
  </si>
  <si>
    <t>Planeación y Ordenamiento Territorial</t>
  </si>
  <si>
    <t xml:space="preserve">1,300,000,000  </t>
  </si>
  <si>
    <t xml:space="preserve">100,000,000  </t>
  </si>
  <si>
    <t xml:space="preserve">350,000,000  </t>
  </si>
  <si>
    <t>0.6</t>
  </si>
  <si>
    <t>0.05</t>
  </si>
  <si>
    <t>Lineamiento SIRAP - CARIBE/ SINAP</t>
  </si>
  <si>
    <t>Identificación de riesgos en zonas con fenómenos de diapirismo de lodos</t>
  </si>
  <si>
    <t>Realizar monitoreo periódico a las aguas subterráneas de la jurisdicción (fase 5 o 6), decreto 1323/07.</t>
  </si>
  <si>
    <t>Construir un índice de escasez de las aguas subterráneas, resolución 865  (costo/beneficio).</t>
  </si>
  <si>
    <t>Desarrollo de actividades de limpieza de ciénagas y cauces de arroyos de la jurisdicción de Cardique</t>
  </si>
  <si>
    <t xml:space="preserve">Estudio y modelación para alerta temprana por contaminación de aguas superficiales ocasionada por derrames terrestres </t>
  </si>
  <si>
    <t>Seguimiento y evaluación a los programas de compensación forestal</t>
  </si>
  <si>
    <t>Plan piloto para la restauración boscosa en zonas afectadas por el síndrome fungal (phytoptera) en la ecorregión Montes de María</t>
  </si>
  <si>
    <t>Avance anual</t>
  </si>
  <si>
    <t xml:space="preserve">CORPORACIÓN AUTÓNOMA REGIONAL DEL CANAL DEL DIQUE - CARDIQUE
MATRIZ DE SEGUIMIENTO DEL PLAN DE ACCIÓN AJUSTADO 2007 - 2012 (AVANCE EN LAS METAS FÍSICAS Y FINANCIERAS) </t>
  </si>
  <si>
    <t>Fortalecimiento del SIRAP - CARIBE/ SINAP</t>
  </si>
  <si>
    <t>Manejo de áreas regionales protegidas (14 CGR)</t>
  </si>
  <si>
    <t>Fortalecimiento del Sistema Local de Áreas Protegidas (SILAP- CARDIQUE)</t>
  </si>
  <si>
    <t xml:space="preserve"> (7)  META FISICA PERIODO (Según unidad de medida)</t>
  </si>
  <si>
    <t>Ajuste del POMCA del Canal del Dique (Incorporar riesgo y cambio climático)</t>
  </si>
  <si>
    <t>Ordenamiento de cuencas hidrgràficas (13 CGR)</t>
  </si>
  <si>
    <t>Implementacion del POMCA del canal del Dique (Priorizar una actividad)</t>
  </si>
  <si>
    <t>Total avance porcentual por  proyectos ( año 2012 y periodo)</t>
  </si>
  <si>
    <r>
      <t xml:space="preserve">(1)
PROGRAMAS - PROYECTOS  DEL PAA 2007 - 2012 
(inserte filas cuando sea necesario)
</t>
    </r>
  </si>
  <si>
    <t>Elaboración del Plan de Acción Regional de lucha contra la desertificación de la jurisdición (PAR Cardique)</t>
  </si>
  <si>
    <t>identificación e implementación de actividad para controlar la erosión costera</t>
  </si>
  <si>
    <t>Ajuste del POMCA (Incorporar riesgo y cambio climático)</t>
  </si>
  <si>
    <t>Total avance porcentual por  proyectos (año 2012 y periodo)</t>
  </si>
  <si>
    <r>
      <t xml:space="preserve">(1)
PROGRAMAS - PROYECTOS  DEL PAT 2007-2012 
(inserte filas cuando sea necesario)
</t>
    </r>
  </si>
  <si>
    <r>
      <t xml:space="preserve">(1)
PROGRAMAS - PROYECTOS  DEL PAA 2007-2012 
(inserte filas cuando sea necesario)
</t>
    </r>
  </si>
  <si>
    <t>Implementar un Programa de Control, Monitoreo y Seguimiento al POMCAMM</t>
  </si>
  <si>
    <t>Identificación de riesgos en zonas con fenómenos de subsidencias o fallas geológicas</t>
  </si>
  <si>
    <t xml:space="preserve">CORPORACIÓN AUTÓNOMA REGIONAL DEL CANAL DEL DIQUE - CARDIQUE
MATRIZ DE SEGUIMIENTO DEL PLAN DE ACCIÓN AJUSTADO 2007  - 2012 (AVANCE EN LAS METAS FÍSICAS Y FINANCIERAS) </t>
  </si>
  <si>
    <t>Manejo de ecosistemas estratégicos (paramos, humedales, manglares, zonas secas, etc (CGR 15))</t>
  </si>
  <si>
    <r>
      <t xml:space="preserve">(1)
PROGRAMAS - PROYECTOS  DEL PAA 2007 - 2012
(inserte filas cuando sea necesario)
</t>
    </r>
  </si>
  <si>
    <t>(14) META FINANCIERA DEL PERIODO ($)</t>
  </si>
  <si>
    <t>(10) PONDERACIONES DE PROGRAMAS  Y PROYECTOS (OPCIONAL DE ACUERDO AL PAA)</t>
  </si>
  <si>
    <t>Aplcación de estrategia para cobro de tasa por uso y tasa retributiva a usuarios identificados</t>
  </si>
  <si>
    <t>Realización de trabajos manuales y/o mecanica para limpieza, mantenimiento y restauración hidrodinámica de ciènagas, canales pluviales y cauces de arroyo de la jurisdicción</t>
  </si>
  <si>
    <t xml:space="preserve">global cuencas de las ecorregiones </t>
  </si>
  <si>
    <t>Realizar seguimiento y monitoreo periodico a cuerpos de agua de la jurisdicción (fase 5 y 6), decreto 1323/07.</t>
  </si>
  <si>
    <t>Ordenamiento del recursos hidrico (dec 3930 de 2010, primera fase)</t>
  </si>
  <si>
    <t>Número de municipios atendidos</t>
  </si>
  <si>
    <t>Lineamientos fase inicial para la formulación del Plan de ordenamiento forestal</t>
  </si>
  <si>
    <t>Plan general de la ordenación forestal de la jurisdicción de la Corporación (Indicador Nº 3 - MADS)</t>
  </si>
  <si>
    <t>Seguimiento y evluación a los programas de compensación forestal</t>
  </si>
  <si>
    <t>Ecosistemas estratégicos (Bosques, Humedales, Manglares, etc), con planes de manejo u ordenación en ejecución (Indicador Nº 4 - MADS).</t>
  </si>
  <si>
    <t>Trámite de aprovechamiento forestal persistente       (Indicadr Nº 6 - CGR)</t>
  </si>
  <si>
    <t>Hectáreas</t>
  </si>
  <si>
    <t>Consolidación y recuperación de zonas verdes en el espacio público en la jurisdicción.</t>
  </si>
  <si>
    <t>Convenio ISA - Cardique - proceso declaratoria de area protegida</t>
  </si>
  <si>
    <t>Áreas protegidas declaradas dentro del área de la jurisdicción (Indicador Nº 1 - MADS)</t>
  </si>
  <si>
    <t>Número de personas capacitadas</t>
  </si>
  <si>
    <t>Manejo de ecosistemas estratègicos (paramos, humedales, manglares, zonas secas, etc ( Indicadr Nº 15 - CGR )</t>
  </si>
  <si>
    <t>Hectáreas revefetalizadas</t>
  </si>
  <si>
    <t>Controlar la tala indiscriminada del manglar</t>
  </si>
  <si>
    <t xml:space="preserve">Hogar de paso para atención y valoración a especies </t>
  </si>
  <si>
    <t>Especies de fauna y flora amenazadas con planes de conservación en ejecución (Indicador Nº 5 - MADS)</t>
  </si>
  <si>
    <t>implementacion plan de uso y manejo de la especie caiman (Repoblación)</t>
  </si>
  <si>
    <t>Repoblamiento con especies ícticas nativas</t>
  </si>
  <si>
    <t>Realización de operativos de control y vigilancia para contrarrestar la caza, tráfico y comercialización indiscriminada de la fauna silvestre</t>
  </si>
  <si>
    <t>Diagnostico sobre especies invasoras en la jurisdicción de Cardique.</t>
  </si>
  <si>
    <r>
      <t xml:space="preserve">(1)
PROGRAMAS - PROYECTOS  DEL PAT 2007-2012
(inserte filas cuando sea necesario)
</t>
    </r>
  </si>
  <si>
    <r>
      <t xml:space="preserve">(1)
PROGRAMAS - PROYECTOS  DEL PAT 2007 - 2012
(inserte filas cuando sea necesario)
</t>
    </r>
  </si>
  <si>
    <t>(14) META FINANCIERA PERIODO ($)</t>
  </si>
  <si>
    <t>Diseñar y desarrollar un programa de  aprovechamiento  de los residuos sólidos orgánicos</t>
  </si>
  <si>
    <t xml:space="preserve">Control de la disposición de residusos sólidos en municipios (Indicador Nº 16 - CGR) </t>
  </si>
  <si>
    <t>Brindar asesorías a los entes territoriales en la actualización de los PGIRS</t>
  </si>
  <si>
    <t>Municipios con acceso a sitios de disposición final de residuos sólidos técnicamente adecuados y autorizados por la Corporación (relleno sanitarios, celdas transitorias) (Indicador Nº19 - MADS)</t>
  </si>
  <si>
    <t>Fortalecmiento a empresas comunitarias de aseo y de aprovechamiento de residuos</t>
  </si>
  <si>
    <t>Numero de municipios</t>
  </si>
  <si>
    <t xml:space="preserve">Formulación e implementación del PGIRS de la Corporación </t>
  </si>
  <si>
    <t>Plan Institucional de Gestión Ambiental - PIGA (Indicador Nº 12 - CGR)</t>
  </si>
  <si>
    <t>Fomento a la gestión integral de residuos sólidos</t>
  </si>
  <si>
    <t>Cumplimiento promedio de los compromisos establecidos en los PGIRS de la jurisdicción (Indicador Nº 20 - MADS)</t>
  </si>
  <si>
    <r>
      <t>Establecimiento y seguimiento de convenios de producción mas limpia (</t>
    </r>
    <r>
      <rPr>
        <sz val="12"/>
        <color indexed="13"/>
        <rFont val="Arial"/>
        <family val="2"/>
      </rPr>
      <t>Agenda ambiental)</t>
    </r>
  </si>
  <si>
    <t>Adquisición de sonómetros para la realización de campañas de mediciones de ruidos en áreas priorizadas de sitios críticos y en atención a quejas en el área de jurisdicción</t>
  </si>
  <si>
    <t>Estaciones de monitoreo (Indicador Nº 7 - CGR)</t>
  </si>
  <si>
    <t>Diseño de un programa trienal para la mitigación y adaptación del cambio climático</t>
  </si>
  <si>
    <t>Implementación  del programa trienal para la mitigación y adaptación del cambio climático</t>
  </si>
  <si>
    <t>Programa de monitoreo de contaminantes atmosféricos para determinar concentraciones de PM10 y ozono en el área de jurisdición de la Corporación</t>
  </si>
  <si>
    <t>Registro de la calidad del aire en centro poblados mayores de 100.000 habitantes y corredores industriales, determinado en redes de monitoreo acompañadas por la Corporación (Indicador Nº 18 - MADS)</t>
  </si>
  <si>
    <t>Adquisición de equipos (de análisis de gases y particulas) para la medición de contaminates de fuentes móviles (diesel y gasolina) en la jurisdicción</t>
  </si>
  <si>
    <t>Control de emisiones atmosfericas de fuentes móviles (Indicador Nº 20  - CGR)</t>
  </si>
  <si>
    <t>Implementar un programa de educación ambiental, concientización, control y seguimiento sobre residuos peligrosos.</t>
  </si>
  <si>
    <t>Número de empresas beneficiadas</t>
  </si>
  <si>
    <t>Proyectos pilotos de producción más limpia de sectores productivos acompañados por la Corporación (Indicador Nº 15 - MADS)</t>
  </si>
  <si>
    <t>Institucionalización e implementación del programa vacaciones ecoturísticas comunitarias</t>
  </si>
  <si>
    <t>Programa educativo sobre techos verdes aprovechamiento racional de espacios de vivienda urbana y rural para el establecimiento de patios productivos (abono, hortalizas, ecoetioqueteado)</t>
  </si>
  <si>
    <t>Aprovechamiento de residuos (orgánicos e inorganicos) para la producción comunitaria de artesanías (arte reciclado)</t>
  </si>
  <si>
    <t>Cartillas sobre techos verdes y arte reciclado</t>
  </si>
  <si>
    <t>Apoyar un proyecto de investigación de aprovechamiento y/o valorización de RESPEL</t>
  </si>
  <si>
    <t>Número de registro de generadores de residuos o desechos peligrosos en la jurisdicción (Indicador Nº 25 - MADS)</t>
  </si>
  <si>
    <t>Feria ecoturística</t>
  </si>
  <si>
    <t>Visita internacional para conocer proyectos exitosos de manejo adecuado de RESPEL</t>
  </si>
  <si>
    <t>Convenio de producción mas limpia con el sector de hidrocarburos</t>
  </si>
  <si>
    <t>Identificación la presencia de los nuevos COPs (contaminantes orgánicos persistentes), incluidos en el convenio de Estocolmo</t>
  </si>
  <si>
    <t xml:space="preserve">Implementación del PGIRESPEL de la Corporación </t>
  </si>
  <si>
    <t>Implementación de estrategias para conjurar efectos nocivos en desarrollo de la actividad judicial y evitar condenas patrimoniales en contra de la Corporación</t>
  </si>
  <si>
    <r>
      <t>Prevención daño antijuridico (</t>
    </r>
    <r>
      <rPr>
        <b/>
        <sz val="14"/>
        <rFont val="Arial"/>
        <family val="2"/>
      </rPr>
      <t>Art 21, Dec. 1716 de 2009</t>
    </r>
    <r>
      <rPr>
        <sz val="14"/>
        <rFont val="Arial"/>
        <family val="2"/>
      </rPr>
      <t>)</t>
    </r>
  </si>
  <si>
    <t>Realización de mantenimiento preventivo, correctivo y calibracion de equipos</t>
  </si>
  <si>
    <t>Mantener la acreditación  y ampliar los parámetros acreditados en la matriz agua.</t>
  </si>
  <si>
    <t>Diseño de Sofware</t>
  </si>
  <si>
    <t>Control de vertimientos (Indicador Nº 19 - CGR)</t>
  </si>
  <si>
    <t xml:space="preserve">Ajuste e implementación del plan de desarrollo informático </t>
  </si>
  <si>
    <t>Socialización del SIG, Vital y de gobierno en línea  en cada municipios</t>
  </si>
  <si>
    <t>Asesoría para el fortalecimiento del SIG Cardique</t>
  </si>
  <si>
    <t>Municipios con asesoría para implementar sotfware</t>
  </si>
  <si>
    <t>Implementación y retroalimentación del Plan Estadístico Corporativo</t>
  </si>
  <si>
    <t>Formular y desarrollar el Plan de Institucional de Gestión Ambiental – PIGA</t>
  </si>
  <si>
    <t>Plan Institucional de Gestión Ambiental - PIGA (Indicador Nº 12 CGR )</t>
  </si>
  <si>
    <t>Adecuaciones locativas (Control y Vigilancia, Laboratorio, sede en gral)</t>
  </si>
  <si>
    <t>Global</t>
  </si>
  <si>
    <t>Diseño,  edición y publicación revista institucional y documentos técnicos</t>
  </si>
  <si>
    <t>Actualización de coleciones enciclopédicas para las distintas áreas de la Corporación.</t>
  </si>
  <si>
    <t>Ajuste del Plan de Gestión Ambiental de Cardique  2012 - 2022</t>
  </si>
  <si>
    <t>Diseño, impresión y divulgación  de Cartilla normativa POT (Determinantes ambientales y la normatividad para la revisión de los POT municipales)</t>
  </si>
  <si>
    <t>Cartilla divulgada</t>
  </si>
  <si>
    <t>Realización de talleres ecorregionales de capacitación para funcionarios municipales, Consejo territorial de planeación y concejos municipales sobre revisión de los POT</t>
  </si>
  <si>
    <t>Talleres realizados</t>
  </si>
  <si>
    <t>Elaboración de un documento básico y cartográfico (Ecosistemas estructurantes,  áreas susceptibles a riesgos y áreas a proteger)</t>
  </si>
  <si>
    <t>Número de municipios asesorados por la Corporación en formulación de planes de prevención y mitigación de desastres naturales (Indicador Nº 25 - MADS)</t>
  </si>
  <si>
    <t>Fortalecimiento a las nuevas competencias asignadas a las CARs sobre zonas costeras ley 1450 de 2011</t>
  </si>
  <si>
    <t>Estrategia implementada</t>
  </si>
  <si>
    <t>Fortalecimiento de las determinantes ambientales y lineamientos nomativos referentes a la revisión, modificación y ajuste de los POT</t>
  </si>
  <si>
    <t>Número de municipios con inclusión del riesgo en sus POT a partir de las determinantes ambientales generados por la Corporación (Indicador Nº 24 - MADS).</t>
  </si>
  <si>
    <t>Asesoría y asistencia técnica en la promoción  e implementación de políticas referentes a la planeación y el ordenamiento territorial y ambiental dentro del territorio (ley 99 de 1993 y la 388 de 1997 y reglamentarias en esta materia)</t>
  </si>
  <si>
    <t>porcentaje</t>
  </si>
  <si>
    <t>Asesoría realizada</t>
  </si>
  <si>
    <t>Educaciçón ambiental (10 CGR)</t>
  </si>
  <si>
    <t>Capital social (11 CGR)</t>
  </si>
  <si>
    <t>Educación ambiental para la conservacion del recurso agua.</t>
  </si>
  <si>
    <t>Educación ambiental (Indicador Nº 10 - CGR)</t>
  </si>
  <si>
    <t>Incorporación de la temática de educación ambiental en la gestión ambiental empresarial.</t>
  </si>
  <si>
    <t xml:space="preserve">Número de instituciones con asesoría y seguimiento </t>
  </si>
  <si>
    <t>Educación ambiental en la zona insular de la jurisdicción.</t>
  </si>
  <si>
    <t>Plan estratégico para el fortalecimiento  organizativo de consejos comunitarios de comunidades negras</t>
  </si>
  <si>
    <t>Número de planes estratégicos formulados</t>
  </si>
  <si>
    <t>Capital social (Indicador Nº 11 - CGR)</t>
  </si>
  <si>
    <t>Socialización de la Estrategia Nacional de educación, formación y sensibilización de públicos sobre cambio  climático.</t>
  </si>
  <si>
    <t>Dotación de herramientas y equipos para la Unidad Móvil de Educación Ambiental</t>
  </si>
  <si>
    <t>Heramientas y equipos suministrados y en funcionamiento</t>
  </si>
  <si>
    <t>Elaboración material didáctico para la Unidad Móvil de Educación Ambiental</t>
  </si>
  <si>
    <t>Inclusión de la dimensión ambiental en proyectos productivos y comunitarios sostenibles.</t>
  </si>
  <si>
    <t>Número de fechas ambientales realizados.</t>
  </si>
  <si>
    <t>Número ferias ecoturísticas realizadas</t>
  </si>
  <si>
    <t xml:space="preserve">Número de municipios asesorados.
</t>
  </si>
  <si>
    <t>Incorporación de la gestión de riesgo en las instituciones educativas</t>
  </si>
  <si>
    <t xml:space="preserve">Número de planes escolares de riesgo formulados y con seguimiento (4)
</t>
  </si>
  <si>
    <t>Incorporación de los componentes de investigación, ciencia y tecnología en las instituciones educativas, mediante la implementación del proyecto Ondas Ambientales en convenio con Colciencias</t>
  </si>
  <si>
    <t>Número de proyectos asesorados, financiados e implementados</t>
  </si>
  <si>
    <t>Capacitación de docentes dinamizadores y líderes comunitarios en temas de conservación y uso sostenible de la biodiversidad, gestión integral del riesgo y cambio climático</t>
  </si>
  <si>
    <t xml:space="preserve">Capacitación de comunicadores sociales y periodistas en temas de conservación y uso de la biodiversidad, gestión integral del riesgo y cambio climático </t>
  </si>
  <si>
    <t>Generación de conciencia regional sobre el fenómeno de cambio climático y sus efectos sobre la oferta del recurso hídrico</t>
  </si>
  <si>
    <t>Nùmero de funcionarios de los entes territoriales capacitados en la politica de educación ambiental.</t>
  </si>
  <si>
    <t>Estudio hidrogelógico de los acuiferos de dos municpios</t>
  </si>
  <si>
    <t xml:space="preserve">Reforestación cuencas priorizadas de la jurisdicción  con especies nativas para proteger cuencas abastecedoras de acueductos de centros poblados y cuencas de los arroyos de la jurisdicción de Cardique </t>
  </si>
  <si>
    <t>Lab</t>
  </si>
  <si>
    <t>Metas fisicas 2012</t>
  </si>
  <si>
    <t>Metas fìsicas periodo</t>
  </si>
  <si>
    <t>Avance periodo</t>
  </si>
  <si>
    <t>Metas financieras  2012</t>
  </si>
  <si>
    <t>Metas financieras periodo</t>
  </si>
  <si>
    <t>PAGOS</t>
  </si>
  <si>
    <t xml:space="preserve">32,664,298,481  </t>
  </si>
  <si>
    <t xml:space="preserve">20,642,427,102  </t>
  </si>
  <si>
    <t xml:space="preserve">13,652,367,136  </t>
  </si>
  <si>
    <t xml:space="preserve">1,500,000,000  </t>
  </si>
  <si>
    <t xml:space="preserve">2,008,000  </t>
  </si>
  <si>
    <t xml:space="preserve">650,000,000  </t>
  </si>
  <si>
    <t xml:space="preserve">18,130,657,824  </t>
  </si>
  <si>
    <t xml:space="preserve">15,545,392,580  </t>
  </si>
  <si>
    <t xml:space="preserve">10,575,829,475  </t>
  </si>
  <si>
    <t xml:space="preserve">17,730,657,824  </t>
  </si>
  <si>
    <t xml:space="preserve">2,032,940,666  </t>
  </si>
  <si>
    <t xml:space="preserve">1,292,156,590  </t>
  </si>
  <si>
    <t xml:space="preserve">773,170,375  </t>
  </si>
  <si>
    <t xml:space="preserve">1,100,000,000  </t>
  </si>
  <si>
    <t xml:space="preserve">783,484,996  </t>
  </si>
  <si>
    <t xml:space="preserve">376,301,408  </t>
  </si>
  <si>
    <t xml:space="preserve">250,000,000  </t>
  </si>
  <si>
    <t xml:space="preserve">45,099,680  </t>
  </si>
  <si>
    <t xml:space="preserve">23,774,546  </t>
  </si>
  <si>
    <t xml:space="preserve">95,230,512  </t>
  </si>
  <si>
    <t xml:space="preserve">643,154,804  </t>
  </si>
  <si>
    <t xml:space="preserve">352,526,862  </t>
  </si>
  <si>
    <t xml:space="preserve">932,940,666  </t>
  </si>
  <si>
    <t xml:space="preserve">508,671,594  </t>
  </si>
  <si>
    <t xml:space="preserve">396,868,967  </t>
  </si>
  <si>
    <t xml:space="preserve">607,739,342  </t>
  </si>
  <si>
    <t xml:space="preserve">316,715,343  </t>
  </si>
  <si>
    <t xml:space="preserve">256,949,945  </t>
  </si>
  <si>
    <t xml:space="preserve">142,019,428  </t>
  </si>
  <si>
    <t xml:space="preserve">900,000,000  </t>
  </si>
  <si>
    <t xml:space="preserve">350,789,397  </t>
  </si>
  <si>
    <t xml:space="preserve">174,695,915  </t>
  </si>
  <si>
    <t xml:space="preserve">3,950,000,000  </t>
  </si>
  <si>
    <t xml:space="preserve">646,960,999  </t>
  </si>
  <si>
    <t xml:space="preserve">380,344,496  </t>
  </si>
  <si>
    <t xml:space="preserve">2,050,000,000  </t>
  </si>
  <si>
    <t xml:space="preserve">28,802,194  </t>
  </si>
  <si>
    <t xml:space="preserve">5,461,000  </t>
  </si>
  <si>
    <t xml:space="preserve">450,000,000  </t>
  </si>
  <si>
    <t xml:space="preserve">23,782,194  </t>
  </si>
  <si>
    <t xml:space="preserve">1,600,000,000  </t>
  </si>
  <si>
    <t xml:space="preserve">5,020,000  </t>
  </si>
  <si>
    <t xml:space="preserve">4,997,000  </t>
  </si>
  <si>
    <t xml:space="preserve">1,900,000,000  </t>
  </si>
  <si>
    <t xml:space="preserve">618,158,805  </t>
  </si>
  <si>
    <t xml:space="preserve">374,883,496  </t>
  </si>
  <si>
    <t xml:space="preserve">35,504,482  </t>
  </si>
  <si>
    <t xml:space="preserve">512,593,251  </t>
  </si>
  <si>
    <t xml:space="preserve">343,409,572  </t>
  </si>
  <si>
    <t xml:space="preserve">70,061,072  </t>
  </si>
  <si>
    <t xml:space="preserve">30,632,924  </t>
  </si>
  <si>
    <t xml:space="preserve">348,540,434  </t>
  </si>
  <si>
    <t xml:space="preserve">23,698,684  </t>
  </si>
  <si>
    <t xml:space="preserve">1,030,000,000  </t>
  </si>
  <si>
    <t xml:space="preserve">52,509,200  </t>
  </si>
  <si>
    <t xml:space="preserve">4,000,000  </t>
  </si>
  <si>
    <t xml:space="preserve">470,000,000  </t>
  </si>
  <si>
    <t xml:space="preserve">296,031,234  </t>
  </si>
  <si>
    <t xml:space="preserve">19,698,684  </t>
  </si>
  <si>
    <t xml:space="preserve">4,250,699,991  </t>
  </si>
  <si>
    <t xml:space="preserve">2,199,629,157  </t>
  </si>
  <si>
    <t xml:space="preserve">1,582,608,763  </t>
  </si>
  <si>
    <t>EJECUCION GASTOS DE INVERSION POR PROYECTOS primer sem 2012</t>
  </si>
  <si>
    <t>PROYECTOS</t>
  </si>
  <si>
    <t>PROGRAMA 1: ECORREGIONES ESTRATÉGICAS PRIORIDAD AMBIENTAL</t>
  </si>
  <si>
    <t>PROGRAMA 2: CUERPOS DE AGUAS AMBIENTALEMENTE SANOS</t>
  </si>
  <si>
    <t>PROGRAMA 3: BOSQUES Y MANGLARES COMO HÁBITAT DE BIODIVERSIDAD</t>
  </si>
  <si>
    <t>PROGRAMA 4: SOSTENIBILIDAD DEL DESARROLLO URBANO Y RURAL</t>
  </si>
  <si>
    <t>PROGRAMA 7: PARQUE NATURAL DISTRITAL DE LA CIÉNAGA DE LA VIRGEN</t>
  </si>
  <si>
    <t>PROGRAMA 5: EDUCACIÓN AMBIENTAL</t>
  </si>
  <si>
    <t>PROGRAMA 5: MEJOR GESTIÓN AMBIENTAL</t>
  </si>
  <si>
    <t xml:space="preserve">Ponderó: Yesid Correa Romero - Profesional Especializado </t>
  </si>
  <si>
    <t>Millones de Pesos</t>
  </si>
  <si>
    <r>
      <t>CODIGO</t>
    </r>
    <r>
      <rPr>
        <sz val="8"/>
        <color indexed="8"/>
        <rFont val="Arial"/>
        <family val="2"/>
      </rPr>
      <t xml:space="preserve"> </t>
    </r>
  </si>
  <si>
    <r>
      <t>DESCRIPCION</t>
    </r>
    <r>
      <rPr>
        <sz val="8"/>
        <color indexed="8"/>
        <rFont val="Arial"/>
        <family val="2"/>
      </rPr>
      <t xml:space="preserve"> </t>
    </r>
  </si>
  <si>
    <r>
      <t>PRESUPUESTO</t>
    </r>
    <r>
      <rPr>
        <sz val="8"/>
        <color indexed="8"/>
        <rFont val="Arial"/>
        <family val="2"/>
      </rPr>
      <t xml:space="preserve"> </t>
    </r>
  </si>
  <si>
    <r>
      <t>COMPROMISOS</t>
    </r>
    <r>
      <rPr>
        <sz val="8"/>
        <color indexed="8"/>
        <rFont val="Arial"/>
        <family val="2"/>
      </rPr>
      <t xml:space="preserve"> </t>
    </r>
  </si>
  <si>
    <r>
      <t>%</t>
    </r>
    <r>
      <rPr>
        <sz val="8"/>
        <color indexed="8"/>
        <rFont val="Arial"/>
        <family val="2"/>
      </rPr>
      <t xml:space="preserve"> </t>
    </r>
  </si>
  <si>
    <r>
      <t>INVERSION</t>
    </r>
    <r>
      <rPr>
        <sz val="8"/>
        <color indexed="8"/>
        <rFont val="Arial"/>
        <family val="2"/>
      </rPr>
      <t xml:space="preserve"> </t>
    </r>
  </si>
  <si>
    <r>
      <t>DEFINITIVO</t>
    </r>
    <r>
      <rPr>
        <sz val="8"/>
        <color indexed="8"/>
        <rFont val="Arial"/>
        <family val="2"/>
      </rPr>
      <t xml:space="preserve"> </t>
    </r>
  </si>
  <si>
    <r>
      <t> </t>
    </r>
    <r>
      <rPr>
        <sz val="8"/>
        <color indexed="8"/>
        <rFont val="Arial"/>
        <family val="2"/>
      </rPr>
      <t xml:space="preserve"> </t>
    </r>
  </si>
  <si>
    <r>
      <t>EJEC,</t>
    </r>
    <r>
      <rPr>
        <sz val="8"/>
        <color indexed="8"/>
        <rFont val="Arial"/>
        <family val="2"/>
      </rPr>
      <t xml:space="preserve"> </t>
    </r>
  </si>
  <si>
    <r>
      <t>TOTAL GASTOS DEINVERSION</t>
    </r>
    <r>
      <rPr>
        <sz val="8"/>
        <color indexed="8"/>
        <rFont val="Arial"/>
        <family val="2"/>
      </rPr>
      <t xml:space="preserve"> </t>
    </r>
  </si>
  <si>
    <r>
      <t xml:space="preserve">34,407,248,287  </t>
    </r>
    <r>
      <rPr>
        <sz val="8"/>
        <color indexed="8"/>
        <rFont val="Arial"/>
        <family val="2"/>
      </rPr>
      <t xml:space="preserve"> </t>
    </r>
  </si>
  <si>
    <r>
      <t xml:space="preserve">32,606,014,935  </t>
    </r>
    <r>
      <rPr>
        <sz val="8"/>
        <color indexed="8"/>
        <rFont val="Arial"/>
        <family val="2"/>
      </rPr>
      <t xml:space="preserve"> </t>
    </r>
  </si>
  <si>
    <r>
      <t>ECORREGIONES ESTRATÉGICAS PRIORIDAD AMBIENTAL</t>
    </r>
    <r>
      <rPr>
        <sz val="8"/>
        <color indexed="8"/>
        <rFont val="Arial"/>
        <family val="2"/>
      </rPr>
      <t xml:space="preserve"> </t>
    </r>
  </si>
  <si>
    <r>
      <t xml:space="preserve">30,120,000  </t>
    </r>
    <r>
      <rPr>
        <sz val="8"/>
        <color indexed="8"/>
        <rFont val="Arial"/>
        <family val="2"/>
      </rPr>
      <t xml:space="preserve"> </t>
    </r>
  </si>
  <si>
    <r>
      <t>100 900</t>
    </r>
    <r>
      <rPr>
        <sz val="8"/>
        <color indexed="8"/>
        <rFont val="Arial"/>
        <family val="2"/>
      </rPr>
      <t xml:space="preserve"> </t>
    </r>
  </si>
  <si>
    <r>
      <t>ORDENAMIENTO Y MANEJO ECORREGIONES</t>
    </r>
    <r>
      <rPr>
        <sz val="8"/>
        <color indexed="8"/>
        <rFont val="Arial"/>
        <family val="2"/>
      </rPr>
      <t xml:space="preserve"> </t>
    </r>
  </si>
  <si>
    <t>Ordenamiento y Manejo Integrado Ecorregión Montes de Maria</t>
  </si>
  <si>
    <r>
      <t>CUERPOS DE AGUAS AMBIENTALEMENTE SANOS</t>
    </r>
    <r>
      <rPr>
        <sz val="8"/>
        <color indexed="8"/>
        <rFont val="Arial"/>
        <family val="2"/>
      </rPr>
      <t xml:space="preserve"> </t>
    </r>
  </si>
  <si>
    <r>
      <t xml:space="preserve">20,504,848,834  </t>
    </r>
    <r>
      <rPr>
        <sz val="8"/>
        <color indexed="8"/>
        <rFont val="Arial"/>
        <family val="2"/>
      </rPr>
      <t xml:space="preserve"> </t>
    </r>
  </si>
  <si>
    <r>
      <t xml:space="preserve">20,495,336,141  </t>
    </r>
    <r>
      <rPr>
        <sz val="8"/>
        <color indexed="8"/>
        <rFont val="Arial"/>
        <family val="2"/>
      </rPr>
      <t xml:space="preserve"> </t>
    </r>
  </si>
  <si>
    <r>
      <t>101 901</t>
    </r>
    <r>
      <rPr>
        <sz val="8"/>
        <color indexed="8"/>
        <rFont val="Arial"/>
        <family val="2"/>
      </rPr>
      <t xml:space="preserve"> </t>
    </r>
  </si>
  <si>
    <r>
      <t>CONSERVACIÓN Y RECUPERACIÓN DE CUERPOS DE AGUA</t>
    </r>
    <r>
      <rPr>
        <sz val="8"/>
        <color indexed="8"/>
        <rFont val="Arial"/>
        <family val="2"/>
      </rPr>
      <t xml:space="preserve"> </t>
    </r>
  </si>
  <si>
    <t xml:space="preserve">20,504,848,834  </t>
  </si>
  <si>
    <t xml:space="preserve">20,495,336,141  </t>
  </si>
  <si>
    <r>
      <t>BOSQUES Y MANGLARES COMO HÁBITAT DE BIODIVERSIDAD</t>
    </r>
    <r>
      <rPr>
        <sz val="8"/>
        <color indexed="8"/>
        <rFont val="Arial"/>
        <family val="2"/>
      </rPr>
      <t xml:space="preserve"> </t>
    </r>
  </si>
  <si>
    <r>
      <t xml:space="preserve">2,018,045,148  </t>
    </r>
    <r>
      <rPr>
        <sz val="8"/>
        <color indexed="8"/>
        <rFont val="Arial"/>
        <family val="2"/>
      </rPr>
      <t xml:space="preserve"> </t>
    </r>
  </si>
  <si>
    <r>
      <t xml:space="preserve">1,012,837,058  </t>
    </r>
    <r>
      <rPr>
        <sz val="8"/>
        <color indexed="8"/>
        <rFont val="Arial"/>
        <family val="2"/>
      </rPr>
      <t xml:space="preserve"> </t>
    </r>
  </si>
  <si>
    <r>
      <t>102 902</t>
    </r>
    <r>
      <rPr>
        <sz val="8"/>
        <color indexed="8"/>
        <rFont val="Arial"/>
        <family val="2"/>
      </rPr>
      <t xml:space="preserve"> </t>
    </r>
  </si>
  <si>
    <r>
      <t>CONSERVACIÓN USO Y MANEJO DE FLORA</t>
    </r>
    <r>
      <rPr>
        <sz val="8"/>
        <color indexed="8"/>
        <rFont val="Arial"/>
        <family val="2"/>
      </rPr>
      <t xml:space="preserve"> </t>
    </r>
  </si>
  <si>
    <r>
      <t xml:space="preserve">1,518,526,148  </t>
    </r>
    <r>
      <rPr>
        <sz val="8"/>
        <color indexed="8"/>
        <rFont val="Arial"/>
        <family val="2"/>
      </rPr>
      <t xml:space="preserve"> </t>
    </r>
  </si>
  <si>
    <r>
      <t xml:space="preserve">513,320,055  </t>
    </r>
    <r>
      <rPr>
        <sz val="8"/>
        <color indexed="8"/>
        <rFont val="Arial"/>
        <family val="2"/>
      </rPr>
      <t xml:space="preserve"> </t>
    </r>
  </si>
  <si>
    <t xml:space="preserve">1,038,314,000  </t>
  </si>
  <si>
    <t xml:space="preserve">33,151,263  </t>
  </si>
  <si>
    <t xml:space="preserve">49,948,100  </t>
  </si>
  <si>
    <t xml:space="preserve">49,910,910  </t>
  </si>
  <si>
    <t xml:space="preserve">430,264,048  </t>
  </si>
  <si>
    <t xml:space="preserve">430,257,882  </t>
  </si>
  <si>
    <r>
      <t>102 903</t>
    </r>
    <r>
      <rPr>
        <sz val="8"/>
        <color indexed="8"/>
        <rFont val="Arial"/>
        <family val="2"/>
      </rPr>
      <t xml:space="preserve"> </t>
    </r>
  </si>
  <si>
    <r>
      <t>CONSERVACIÓN USO Y MANEJO DE FAUNA</t>
    </r>
    <r>
      <rPr>
        <sz val="8"/>
        <color indexed="8"/>
        <rFont val="Arial"/>
        <family val="2"/>
      </rPr>
      <t xml:space="preserve"> </t>
    </r>
  </si>
  <si>
    <r>
      <t xml:space="preserve">499,519,000  </t>
    </r>
    <r>
      <rPr>
        <sz val="8"/>
        <color indexed="8"/>
        <rFont val="Arial"/>
        <family val="2"/>
      </rPr>
      <t xml:space="preserve"> </t>
    </r>
  </si>
  <si>
    <r>
      <t xml:space="preserve">499,517,003  </t>
    </r>
    <r>
      <rPr>
        <sz val="8"/>
        <color indexed="8"/>
        <rFont val="Arial"/>
        <family val="2"/>
      </rPr>
      <t xml:space="preserve"> </t>
    </r>
  </si>
  <si>
    <t xml:space="preserve">499,519,000  </t>
  </si>
  <si>
    <t xml:space="preserve">499,517,003  </t>
  </si>
  <si>
    <r>
      <t>SOSTENIBILIDAD DEL DESARROLLO URBANO Y RURAL</t>
    </r>
    <r>
      <rPr>
        <sz val="8"/>
        <color indexed="8"/>
        <rFont val="Arial"/>
        <family val="2"/>
      </rPr>
      <t xml:space="preserve"> </t>
    </r>
  </si>
  <si>
    <r>
      <t xml:space="preserve">162,990,000  </t>
    </r>
    <r>
      <rPr>
        <sz val="8"/>
        <color indexed="8"/>
        <rFont val="Arial"/>
        <family val="2"/>
      </rPr>
      <t xml:space="preserve"> </t>
    </r>
  </si>
  <si>
    <r>
      <t xml:space="preserve">162,989,680  </t>
    </r>
    <r>
      <rPr>
        <sz val="8"/>
        <color indexed="8"/>
        <rFont val="Arial"/>
        <family val="2"/>
      </rPr>
      <t xml:space="preserve"> </t>
    </r>
  </si>
  <si>
    <r>
      <t xml:space="preserve">103 904 </t>
    </r>
    <r>
      <rPr>
        <sz val="8"/>
        <color indexed="8"/>
        <rFont val="Arial"/>
        <family val="2"/>
      </rPr>
      <t xml:space="preserve"> </t>
    </r>
  </si>
  <si>
    <r>
      <t>CALIDAD DE VIDA URBANA</t>
    </r>
    <r>
      <rPr>
        <sz val="8"/>
        <color indexed="8"/>
        <rFont val="Arial"/>
        <family val="2"/>
      </rPr>
      <t xml:space="preserve"> </t>
    </r>
  </si>
  <si>
    <r>
      <t xml:space="preserve">149,950,000  </t>
    </r>
    <r>
      <rPr>
        <sz val="8"/>
        <color indexed="8"/>
        <rFont val="Arial"/>
        <family val="2"/>
      </rPr>
      <t xml:space="preserve"> </t>
    </r>
  </si>
  <si>
    <r>
      <t xml:space="preserve">149,949,728  </t>
    </r>
    <r>
      <rPr>
        <sz val="8"/>
        <color indexed="8"/>
        <rFont val="Arial"/>
        <family val="2"/>
      </rPr>
      <t xml:space="preserve"> </t>
    </r>
  </si>
  <si>
    <t xml:space="preserve">149,950,000  </t>
  </si>
  <si>
    <t xml:space="preserve">149,949,728  </t>
  </si>
  <si>
    <r>
      <t>103 905</t>
    </r>
    <r>
      <rPr>
        <sz val="8"/>
        <color indexed="8"/>
        <rFont val="Arial"/>
        <family val="2"/>
      </rPr>
      <t xml:space="preserve"> </t>
    </r>
  </si>
  <si>
    <r>
      <t>PRODUCCION LIMPIA</t>
    </r>
    <r>
      <rPr>
        <sz val="8"/>
        <color indexed="8"/>
        <rFont val="Arial"/>
        <family val="2"/>
      </rPr>
      <t xml:space="preserve"> </t>
    </r>
  </si>
  <si>
    <r>
      <t xml:space="preserve">13,040,000  </t>
    </r>
    <r>
      <rPr>
        <sz val="8"/>
        <color indexed="8"/>
        <rFont val="Arial"/>
        <family val="2"/>
      </rPr>
      <t xml:space="preserve"> </t>
    </r>
  </si>
  <si>
    <r>
      <t xml:space="preserve">13,039,952  </t>
    </r>
    <r>
      <rPr>
        <sz val="8"/>
        <color indexed="8"/>
        <rFont val="Arial"/>
        <family val="2"/>
      </rPr>
      <t xml:space="preserve"> </t>
    </r>
  </si>
  <si>
    <t xml:space="preserve">13,040,000  </t>
  </si>
  <si>
    <t xml:space="preserve">13,039,952  </t>
  </si>
  <si>
    <r>
      <t>MEJOR GESTION AMBIENTAL</t>
    </r>
    <r>
      <rPr>
        <sz val="8"/>
        <color indexed="8"/>
        <rFont val="Arial"/>
        <family val="2"/>
      </rPr>
      <t xml:space="preserve"> </t>
    </r>
  </si>
  <si>
    <r>
      <t xml:space="preserve">2,000,347,855  </t>
    </r>
    <r>
      <rPr>
        <sz val="8"/>
        <color indexed="8"/>
        <rFont val="Arial"/>
        <family val="2"/>
      </rPr>
      <t xml:space="preserve"> </t>
    </r>
  </si>
  <si>
    <r>
      <t xml:space="preserve">1,610,638,242  </t>
    </r>
    <r>
      <rPr>
        <sz val="8"/>
        <color indexed="8"/>
        <rFont val="Arial"/>
        <family val="2"/>
      </rPr>
      <t xml:space="preserve"> </t>
    </r>
  </si>
  <si>
    <r>
      <t>104 906</t>
    </r>
    <r>
      <rPr>
        <sz val="8"/>
        <color indexed="8"/>
        <rFont val="Arial"/>
        <family val="2"/>
      </rPr>
      <t xml:space="preserve"> </t>
    </r>
  </si>
  <si>
    <r>
      <t>APOYO A LA GESTION MUNICIPAL</t>
    </r>
    <r>
      <rPr>
        <sz val="8"/>
        <color indexed="8"/>
        <rFont val="Arial"/>
        <family val="2"/>
      </rPr>
      <t xml:space="preserve"> </t>
    </r>
  </si>
  <si>
    <r>
      <t xml:space="preserve">768,129,000  </t>
    </r>
    <r>
      <rPr>
        <sz val="8"/>
        <color indexed="8"/>
        <rFont val="Arial"/>
        <family val="2"/>
      </rPr>
      <t xml:space="preserve"> </t>
    </r>
  </si>
  <si>
    <r>
      <t xml:space="preserve">678,179,175  </t>
    </r>
    <r>
      <rPr>
        <sz val="8"/>
        <color indexed="8"/>
        <rFont val="Arial"/>
        <family val="2"/>
      </rPr>
      <t xml:space="preserve"> </t>
    </r>
  </si>
  <si>
    <t xml:space="preserve">370,000,000  </t>
  </si>
  <si>
    <t xml:space="preserve">280,057,975  </t>
  </si>
  <si>
    <t>Planeacion y Ordenamiento Territorial</t>
  </si>
  <si>
    <t xml:space="preserve">398,129,000  </t>
  </si>
  <si>
    <t xml:space="preserve">398,121,200  </t>
  </si>
  <si>
    <r>
      <t>104 907</t>
    </r>
    <r>
      <rPr>
        <sz val="8"/>
        <color indexed="8"/>
        <rFont val="Arial"/>
        <family val="2"/>
      </rPr>
      <t xml:space="preserve"> </t>
    </r>
  </si>
  <si>
    <r>
      <t>FORTALECIMIENTO INSTITUCIONAL</t>
    </r>
    <r>
      <rPr>
        <sz val="8"/>
        <color indexed="8"/>
        <rFont val="Arial"/>
        <family val="2"/>
      </rPr>
      <t xml:space="preserve"> </t>
    </r>
  </si>
  <si>
    <r>
      <t xml:space="preserve">1,232,218,855  </t>
    </r>
    <r>
      <rPr>
        <sz val="8"/>
        <color indexed="8"/>
        <rFont val="Arial"/>
        <family val="2"/>
      </rPr>
      <t xml:space="preserve"> </t>
    </r>
  </si>
  <si>
    <r>
      <t xml:space="preserve">932,459,067  </t>
    </r>
    <r>
      <rPr>
        <sz val="8"/>
        <color indexed="8"/>
        <rFont val="Arial"/>
        <family val="2"/>
      </rPr>
      <t xml:space="preserve"> </t>
    </r>
  </si>
  <si>
    <t xml:space="preserve">329,278,981  </t>
  </si>
  <si>
    <t xml:space="preserve">120,000,000  </t>
  </si>
  <si>
    <t xml:space="preserve">87,791,223  </t>
  </si>
  <si>
    <t xml:space="preserve">512,218,855  </t>
  </si>
  <si>
    <t xml:space="preserve">461,839,364  </t>
  </si>
  <si>
    <t xml:space="preserve">53,549,499  </t>
  </si>
  <si>
    <r>
      <t>EDUCACIÓN AMBIENTAL</t>
    </r>
    <r>
      <rPr>
        <sz val="8"/>
        <color indexed="8"/>
        <rFont val="Arial"/>
        <family val="2"/>
      </rPr>
      <t xml:space="preserve"> </t>
    </r>
  </si>
  <si>
    <r>
      <t xml:space="preserve">400,000,000  </t>
    </r>
    <r>
      <rPr>
        <sz val="8"/>
        <color indexed="8"/>
        <rFont val="Arial"/>
        <family val="2"/>
      </rPr>
      <t xml:space="preserve"> </t>
    </r>
  </si>
  <si>
    <r>
      <t xml:space="preserve">395,485,560  </t>
    </r>
    <r>
      <rPr>
        <sz val="8"/>
        <color indexed="8"/>
        <rFont val="Arial"/>
        <family val="2"/>
      </rPr>
      <t xml:space="preserve"> </t>
    </r>
  </si>
  <si>
    <r>
      <t>105 908</t>
    </r>
    <r>
      <rPr>
        <sz val="8"/>
        <color indexed="8"/>
        <rFont val="Arial"/>
        <family val="2"/>
      </rPr>
      <t xml:space="preserve"> </t>
    </r>
  </si>
  <si>
    <t xml:space="preserve">199,927,183  </t>
  </si>
  <si>
    <t xml:space="preserve">149,262,531  </t>
  </si>
  <si>
    <t xml:space="preserve">46,295,846  </t>
  </si>
  <si>
    <r>
      <t>PARQUE NATURAL DISTRITAL DE LA CIÉNAGA DE LA VIRGEN</t>
    </r>
    <r>
      <rPr>
        <sz val="8"/>
        <color indexed="8"/>
        <rFont val="Arial"/>
        <family val="2"/>
      </rPr>
      <t xml:space="preserve"> </t>
    </r>
  </si>
  <si>
    <r>
      <t xml:space="preserve">9,290,896,450  </t>
    </r>
    <r>
      <rPr>
        <sz val="8"/>
        <color indexed="8"/>
        <rFont val="Arial"/>
        <family val="2"/>
      </rPr>
      <t xml:space="preserve"> </t>
    </r>
  </si>
  <si>
    <r>
      <t xml:space="preserve">8,898,608,255  </t>
    </r>
    <r>
      <rPr>
        <sz val="8"/>
        <color indexed="8"/>
        <rFont val="Arial"/>
        <family val="2"/>
      </rPr>
      <t xml:space="preserve"> </t>
    </r>
  </si>
  <si>
    <r>
      <t>106 909</t>
    </r>
    <r>
      <rPr>
        <sz val="8"/>
        <color indexed="8"/>
        <rFont val="Arial"/>
        <family val="2"/>
      </rPr>
      <t xml:space="preserve"> </t>
    </r>
  </si>
  <si>
    <r>
      <t xml:space="preserve">Recuperación y Conservación </t>
    </r>
    <r>
      <rPr>
        <sz val="8"/>
        <color indexed="8"/>
        <rFont val="Arial"/>
        <family val="2"/>
      </rPr>
      <t xml:space="preserve"> </t>
    </r>
  </si>
  <si>
    <t xml:space="preserve">9,290,896,450  </t>
  </si>
  <si>
    <t xml:space="preserve">8,898,608,255  </t>
  </si>
  <si>
    <t xml:space="preserve">Numero </t>
  </si>
  <si>
    <t>año 2011</t>
  </si>
  <si>
    <t>PROGRAMA</t>
  </si>
  <si>
    <t>MEJOR GESTIÓN AMBIENTAL</t>
  </si>
  <si>
    <t>Total promedio</t>
  </si>
  <si>
    <t>VIGENCIA EVALUADA (AÑO): ____2012______ PERIODO EVALUADO (SEMESTRE): ____1º y 2º</t>
  </si>
  <si>
    <t>VIGENCIA EVALUADA (AÑO): ____2012______ PERIODO EVALUADO (SEMESTRE): ____1º _ y 2º</t>
  </si>
  <si>
    <t>VIGENCIA EVALUADA (AÑO): ____2012_____ PERIODO EVALUADO (SEMESTRE): ____1º y 2º</t>
  </si>
  <si>
    <t>en proceso 90%</t>
  </si>
  <si>
    <t>40.8 ha</t>
  </si>
  <si>
    <t>sin implementar</t>
  </si>
  <si>
    <t>Diagnóstico sobre especies invasoras en la jurisdicción de Cardique.</t>
  </si>
  <si>
    <t>Número de municipios con inclusión del riesgo en sus POT a partir de las determinantes ambientales generados en las Cars (Ind MADS Nº20).</t>
  </si>
  <si>
    <t>Manejo de áreas regionales protegidas (Ind. CGR Nº 14)</t>
  </si>
  <si>
    <t>Cuencas con planes de ordenación y manejo en ejecución (MADS Nº 7)</t>
  </si>
  <si>
    <t>Áreas protegidas declaradas dentro del área de la jurisdicción, con planes de manejo en ejecución (MADS Nº 2)</t>
  </si>
  <si>
    <t>(6) PORCENTAJE DE AVANCE PROCESO DE GESTION DE LA META FISICA (aplica unicamente para el informe del primer sem.)</t>
  </si>
  <si>
    <t>Inf Secundaria</t>
  </si>
  <si>
    <t>Cuencas con planes de ordenación y manejo en ejecución (MADS 7)</t>
  </si>
  <si>
    <t>Plan General de ordenación forestal de la Jurisdiccion de la Corporacion formulado (MADS 3).</t>
  </si>
  <si>
    <t>Áreas protegidas declaradas dentro del área de la jurisdicción (1 MADS)</t>
  </si>
  <si>
    <t>Áreas protegidas declaradas dentro del área de la jurisdicción, con planes de manejo en ejecución (2 MADS)</t>
  </si>
  <si>
    <t>Cuencas con planes de ordenación y manejo en ejecución (7 MADS)</t>
  </si>
  <si>
    <t>Plan General de ordenación forestal de la Jurisdiccion de la Corporacion formulado (3 MADS).</t>
  </si>
  <si>
    <t>Número de municipios con inclusión del riesgo en sus POT a partir de las determinantes ambientales generados en las Cars (20 MADS).</t>
  </si>
  <si>
    <t>Manejo de áreas regionales protegidas (Ind Nº 14 CGR) / Áreas protegidas declaradas dentro del área de la jurisdicción (Ind MADS Nº 1)</t>
  </si>
  <si>
    <t>Manejo de áreas regionales protegidas (Ind Nº 14 CGR) / Áreas protegidas declaradas dentro del área de la jurisdicción (Ind Nº 1 MADS)</t>
  </si>
  <si>
    <t>OK/2012 FINAL</t>
  </si>
  <si>
    <t>Ecosistemas estratégicos con planes de manejo en ejecución (4 MADS)</t>
  </si>
  <si>
    <t>Total de recursos recaudado con referencia al total recursos facturado por concepto de Tasa de Retributiva (12 MADS)</t>
  </si>
  <si>
    <t>Total de recursos recaudado con referencia al total recursos facturado por concepto de Tasa por uso (13 MADS)</t>
  </si>
  <si>
    <t>Cumplimiento promedio de metas de reducción de carga contaminante, en aplicación de la Tasa Retributiva, en las cuencas o tramos de cuencas de la jurisdicción de la Corporación (SST, y DBO) (14 MADS).</t>
  </si>
  <si>
    <t>Corrientes hidricas reglamentadas por la corporación con relación a las cuencas reglamentadas (10 MADS)</t>
  </si>
  <si>
    <t>Número de Planes de Saneamiento y Manejo de Vertimientos (PSMV) Implementados y con seguimiento (11 MADS)</t>
  </si>
  <si>
    <t>PM10</t>
  </si>
  <si>
    <t xml:space="preserve">Control de la disposición de residusos sólidos en municipios (Ind. Nº 16 CGR) </t>
  </si>
  <si>
    <t>Participación en pruebas interlabora- torios para evaluar capacidad técnica</t>
  </si>
  <si>
    <t>PLAN DE ACCION AJUSTADO 2007 - 2012</t>
  </si>
  <si>
    <t>Año 2012 y Periodo 2007 - 2012</t>
  </si>
  <si>
    <t>% FÍSICO PERIODO</t>
  </si>
  <si>
    <t>90.5</t>
  </si>
  <si>
    <r>
      <t>% FÍSICO ANUAL</t>
    </r>
    <r>
      <rPr>
        <sz val="8"/>
        <color indexed="8"/>
        <rFont val="Arial"/>
        <family val="2"/>
      </rPr>
      <t xml:space="preserve"> </t>
    </r>
  </si>
  <si>
    <r>
      <t>% FINANCIERO ANUAL</t>
    </r>
    <r>
      <rPr>
        <sz val="8"/>
        <color indexed="8"/>
        <rFont val="Arial"/>
        <family val="2"/>
      </rPr>
      <t xml:space="preserve"> </t>
    </r>
  </si>
  <si>
    <r>
      <t>% FINANCIERO PERIODO</t>
    </r>
    <r>
      <rPr>
        <sz val="8"/>
        <color indexed="8"/>
        <rFont val="Arial"/>
        <family val="2"/>
      </rPr>
      <t xml:space="preserve"> </t>
    </r>
  </si>
  <si>
    <t xml:space="preserve">Tabla Resumen Evaluación Plan de Acción % Físico y Financiero por  Programas </t>
  </si>
  <si>
    <t xml:space="preserve">Tabla Resumen Evaluación Plan de Acción % Físico y Financiero por  Proyectos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</si>
</sst>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$-240A]\ #,##0.00"/>
    <numFmt numFmtId="197" formatCode="[$$-240A]\ #,##0"/>
    <numFmt numFmtId="198" formatCode="0.000"/>
    <numFmt numFmtId="199" formatCode="&quot;$&quot;\ #,##0"/>
    <numFmt numFmtId="200" formatCode="#,##0\ _€"/>
    <numFmt numFmtId="201" formatCode="#,##0.0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;[Red]0"/>
    <numFmt numFmtId="207" formatCode="&quot;$&quot;\ #,##0;[Red]&quot;$&quot;\ #,##0"/>
    <numFmt numFmtId="208" formatCode="0.00;[Red]0.00"/>
    <numFmt numFmtId="209" formatCode="&quot;$&quot;\ #,##0.00;[Red]&quot;$&quot;\ #,##0.00"/>
    <numFmt numFmtId="210" formatCode="#,##0.00\ &quot;€&quot;"/>
    <numFmt numFmtId="211" formatCode="[$$-240A]\ #,##0.00;[Red][$$-240A]\ #,##0.00"/>
    <numFmt numFmtId="212" formatCode="&quot;$&quot;\ #,##0.00"/>
    <numFmt numFmtId="213" formatCode="#,##0.00_);\-#,##0.00"/>
    <numFmt numFmtId="214" formatCode="_ * #,##0_ ;_ * \-#,##0_ ;_ * &quot;-&quot;??_ ;_ @_ "/>
    <numFmt numFmtId="215" formatCode="#,##0.00\ _€;[Red]#,##0.00\ _€"/>
    <numFmt numFmtId="216" formatCode="#,##0\ _€;[Red]#,##0\ _€"/>
    <numFmt numFmtId="217" formatCode="#,##0.00;[Red]#,##0.00"/>
    <numFmt numFmtId="218" formatCode="_([$$-240A]\ * #,##0.00_);_([$$-240A]\ * \(#,##0.00\);_([$$-240A]\ * &quot;-&quot;??_);_(@_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name val="Arial Narrow"/>
      <family val="2"/>
    </font>
    <font>
      <sz val="12"/>
      <color indexed="13"/>
      <name val="Arial"/>
      <family val="2"/>
    </font>
    <font>
      <b/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4"/>
      <name val="Times New Roman"/>
      <family val="1"/>
    </font>
    <font>
      <sz val="12"/>
      <name val="Comic Sans MS"/>
      <family val="4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4"/>
      <color indexed="27"/>
      <name val="Arial"/>
      <family val="2"/>
    </font>
    <font>
      <sz val="14"/>
      <color indexed="56"/>
      <name val="Arial"/>
      <family val="2"/>
    </font>
    <font>
      <b/>
      <sz val="14"/>
      <color indexed="10"/>
      <name val="Arial"/>
      <family val="2"/>
    </font>
    <font>
      <sz val="8"/>
      <color indexed="8"/>
      <name val="Comic Sans MS"/>
      <family val="4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002060"/>
      <name val="Arial"/>
      <family val="2"/>
    </font>
    <font>
      <b/>
      <sz val="14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8" tint="0.7999799847602844"/>
      <name val="Arial"/>
      <family val="2"/>
    </font>
    <font>
      <b/>
      <sz val="14"/>
      <color rgb="FFFF0000"/>
      <name val="Arial"/>
      <family val="2"/>
    </font>
    <font>
      <sz val="8"/>
      <color theme="1"/>
      <name val="Comic Sans MS"/>
      <family val="4"/>
    </font>
    <font>
      <b/>
      <sz val="10"/>
      <color rgb="FFFF0000"/>
      <name val="Arial"/>
      <family val="2"/>
    </font>
    <font>
      <sz val="14"/>
      <color rgb="FF00206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12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justify" vertical="center" textRotation="90" wrapText="1"/>
    </xf>
    <xf numFmtId="0" fontId="7" fillId="0" borderId="14" xfId="0" applyFont="1" applyFill="1" applyBorder="1" applyAlignment="1">
      <alignment horizontal="justify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8" fillId="0" borderId="23" xfId="0" applyFont="1" applyBorder="1" applyAlignment="1">
      <alignment/>
    </xf>
    <xf numFmtId="0" fontId="9" fillId="0" borderId="17" xfId="0" applyNumberFormat="1" applyFont="1" applyFill="1" applyBorder="1" applyAlignment="1">
      <alignment horizontal="justify" vertical="center" wrapText="1"/>
    </xf>
    <xf numFmtId="0" fontId="8" fillId="0" borderId="17" xfId="0" applyFont="1" applyBorder="1" applyAlignment="1" applyProtection="1">
      <alignment horizontal="justify" vertical="center"/>
      <protection locked="0"/>
    </xf>
    <xf numFmtId="0" fontId="9" fillId="0" borderId="17" xfId="0" applyNumberFormat="1" applyFont="1" applyBorder="1" applyAlignment="1">
      <alignment horizontal="justify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textRotation="90" wrapText="1"/>
    </xf>
    <xf numFmtId="0" fontId="7" fillId="0" borderId="12" xfId="0" applyFont="1" applyFill="1" applyBorder="1" applyAlignment="1">
      <alignment horizontal="left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0" xfId="0" applyFont="1" applyBorder="1" applyAlignment="1">
      <alignment horizontal="justify" vertical="justify" wrapText="1"/>
    </xf>
    <xf numFmtId="0" fontId="8" fillId="0" borderId="20" xfId="0" applyFont="1" applyBorder="1" applyAlignment="1">
      <alignment horizontal="justify" vertical="center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Font="1" applyAlignment="1">
      <alignment/>
    </xf>
    <xf numFmtId="0" fontId="74" fillId="0" borderId="16" xfId="0" applyFont="1" applyBorder="1" applyAlignment="1">
      <alignment vertical="center" wrapText="1"/>
    </xf>
    <xf numFmtId="0" fontId="74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justify" vertical="center" wrapText="1"/>
    </xf>
    <xf numFmtId="0" fontId="75" fillId="34" borderId="10" xfId="0" applyFont="1" applyFill="1" applyBorder="1" applyAlignment="1">
      <alignment vertical="center" wrapText="1"/>
    </xf>
    <xf numFmtId="0" fontId="76" fillId="0" borderId="30" xfId="0" applyFont="1" applyFill="1" applyBorder="1" applyAlignment="1">
      <alignment horizontal="justify" vertical="center" wrapText="1"/>
    </xf>
    <xf numFmtId="0" fontId="76" fillId="0" borderId="21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/>
    </xf>
    <xf numFmtId="10" fontId="11" fillId="4" borderId="10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vertical="center" wrapText="1"/>
    </xf>
    <xf numFmtId="10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10" fontId="0" fillId="6" borderId="10" xfId="0" applyNumberFormat="1" applyFont="1" applyFill="1" applyBorder="1" applyAlignment="1">
      <alignment/>
    </xf>
    <xf numFmtId="0" fontId="77" fillId="0" borderId="0" xfId="0" applyFont="1" applyAlignment="1">
      <alignment/>
    </xf>
    <xf numFmtId="2" fontId="0" fillId="4" borderId="16" xfId="0" applyNumberFormat="1" applyFont="1" applyFill="1" applyBorder="1" applyAlignment="1">
      <alignment/>
    </xf>
    <xf numFmtId="0" fontId="75" fillId="0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32" xfId="0" applyFont="1" applyFill="1" applyBorder="1" applyAlignment="1">
      <alignment vertical="center" wrapText="1"/>
    </xf>
    <xf numFmtId="2" fontId="0" fillId="6" borderId="10" xfId="0" applyNumberFormat="1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78" fillId="4" borderId="10" xfId="0" applyFont="1" applyFill="1" applyBorder="1" applyAlignment="1">
      <alignment/>
    </xf>
    <xf numFmtId="0" fontId="78" fillId="34" borderId="10" xfId="0" applyFont="1" applyFill="1" applyBorder="1" applyAlignment="1">
      <alignment horizontal="center" vertical="center" wrapText="1"/>
    </xf>
    <xf numFmtId="2" fontId="79" fillId="4" borderId="10" xfId="0" applyNumberFormat="1" applyFont="1" applyFill="1" applyBorder="1" applyAlignment="1">
      <alignment/>
    </xf>
    <xf numFmtId="2" fontId="79" fillId="6" borderId="10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6" borderId="16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34" borderId="33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34" borderId="22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34" borderId="1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8" fillId="34" borderId="17" xfId="0" applyFont="1" applyFill="1" applyBorder="1" applyAlignment="1">
      <alignment vertical="center" wrapText="1"/>
    </xf>
    <xf numFmtId="0" fontId="74" fillId="34" borderId="20" xfId="0" applyFont="1" applyFill="1" applyBorder="1" applyAlignment="1">
      <alignment/>
    </xf>
    <xf numFmtId="0" fontId="8" fillId="34" borderId="16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justify" vertical="center" wrapText="1"/>
    </xf>
    <xf numFmtId="0" fontId="7" fillId="34" borderId="15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justify" vertical="center" textRotation="90" wrapText="1"/>
    </xf>
    <xf numFmtId="0" fontId="7" fillId="34" borderId="12" xfId="0" applyFont="1" applyFill="1" applyBorder="1" applyAlignment="1">
      <alignment horizontal="justify" vertical="center" textRotation="90" wrapText="1"/>
    </xf>
    <xf numFmtId="0" fontId="8" fillId="34" borderId="15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 vertical="top" wrapText="1"/>
    </xf>
    <xf numFmtId="0" fontId="8" fillId="34" borderId="30" xfId="0" applyFont="1" applyFill="1" applyBorder="1" applyAlignment="1">
      <alignment horizontal="left" vertical="top" wrapText="1"/>
    </xf>
    <xf numFmtId="0" fontId="8" fillId="34" borderId="30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justify" vertical="center" textRotation="90" wrapText="1"/>
    </xf>
    <xf numFmtId="0" fontId="7" fillId="34" borderId="14" xfId="0" applyFont="1" applyFill="1" applyBorder="1" applyAlignment="1">
      <alignment horizontal="justify" vertical="center" textRotation="90" wrapText="1"/>
    </xf>
    <xf numFmtId="0" fontId="8" fillId="34" borderId="18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10" xfId="0" applyFill="1" applyBorder="1" applyAlignment="1">
      <alignment/>
    </xf>
    <xf numFmtId="0" fontId="74" fillId="34" borderId="20" xfId="0" applyFont="1" applyFill="1" applyBorder="1" applyAlignment="1">
      <alignment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justify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14" fillId="34" borderId="10" xfId="0" applyFont="1" applyFill="1" applyBorder="1" applyAlignment="1">
      <alignment horizontal="right" vertical="center" wrapText="1"/>
    </xf>
    <xf numFmtId="0" fontId="80" fillId="34" borderId="10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justify" vertical="justify" wrapText="1"/>
    </xf>
    <xf numFmtId="0" fontId="14" fillId="34" borderId="33" xfId="0" applyFont="1" applyFill="1" applyBorder="1" applyAlignment="1">
      <alignment horizontal="right" vertical="center" wrapText="1"/>
    </xf>
    <xf numFmtId="216" fontId="6" fillId="34" borderId="17" xfId="0" applyNumberFormat="1" applyFont="1" applyFill="1" applyBorder="1" applyAlignment="1">
      <alignment horizontal="right" vertical="center" textRotation="90" wrapText="1"/>
    </xf>
    <xf numFmtId="0" fontId="6" fillId="34" borderId="17" xfId="0" applyFont="1" applyFill="1" applyBorder="1" applyAlignment="1">
      <alignment horizontal="right" vertical="center" textRotation="90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vertical="center" textRotation="90" wrapText="1"/>
    </xf>
    <xf numFmtId="0" fontId="6" fillId="34" borderId="17" xfId="0" applyFont="1" applyFill="1" applyBorder="1" applyAlignment="1">
      <alignment/>
    </xf>
    <xf numFmtId="0" fontId="7" fillId="34" borderId="39" xfId="0" applyFont="1" applyFill="1" applyBorder="1" applyAlignment="1">
      <alignment vertical="center" wrapText="1"/>
    </xf>
    <xf numFmtId="0" fontId="75" fillId="34" borderId="40" xfId="0" applyFont="1" applyFill="1" applyBorder="1" applyAlignment="1">
      <alignment vertical="center" wrapText="1"/>
    </xf>
    <xf numFmtId="0" fontId="75" fillId="34" borderId="4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justify" vertical="center"/>
    </xf>
    <xf numFmtId="0" fontId="8" fillId="34" borderId="28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right" vertical="center" wrapText="1"/>
    </xf>
    <xf numFmtId="0" fontId="0" fillId="34" borderId="42" xfId="0" applyFill="1" applyBorder="1" applyAlignment="1">
      <alignment/>
    </xf>
    <xf numFmtId="0" fontId="75" fillId="34" borderId="43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vertical="center" wrapText="1"/>
    </xf>
    <xf numFmtId="0" fontId="14" fillId="34" borderId="31" xfId="0" applyFont="1" applyFill="1" applyBorder="1" applyAlignment="1">
      <alignment horizontal="right" vertical="center" wrapText="1"/>
    </xf>
    <xf numFmtId="0" fontId="6" fillId="34" borderId="39" xfId="0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76" fillId="34" borderId="43" xfId="0" applyFont="1" applyFill="1" applyBorder="1" applyAlignment="1">
      <alignment horizontal="right" vertical="center" wrapText="1"/>
    </xf>
    <xf numFmtId="0" fontId="76" fillId="34" borderId="40" xfId="0" applyFont="1" applyFill="1" applyBorder="1" applyAlignment="1">
      <alignment horizontal="right" vertical="center" wrapText="1"/>
    </xf>
    <xf numFmtId="0" fontId="76" fillId="34" borderId="41" xfId="0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right" vertical="center" wrapText="1"/>
    </xf>
    <xf numFmtId="0" fontId="6" fillId="34" borderId="33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8" fillId="34" borderId="28" xfId="0" applyFont="1" applyFill="1" applyBorder="1" applyAlignment="1">
      <alignment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vertical="center" wrapText="1"/>
    </xf>
    <xf numFmtId="0" fontId="6" fillId="4" borderId="36" xfId="0" applyFont="1" applyFill="1" applyBorder="1" applyAlignment="1">
      <alignment vertical="center"/>
    </xf>
    <xf numFmtId="0" fontId="6" fillId="4" borderId="36" xfId="0" applyNumberFormat="1" applyFont="1" applyFill="1" applyBorder="1" applyAlignment="1">
      <alignment vertical="center" wrapText="1"/>
    </xf>
    <xf numFmtId="0" fontId="6" fillId="4" borderId="44" xfId="0" applyFont="1" applyFill="1" applyBorder="1" applyAlignment="1">
      <alignment/>
    </xf>
    <xf numFmtId="0" fontId="6" fillId="4" borderId="18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/>
    </xf>
    <xf numFmtId="0" fontId="6" fillId="4" borderId="44" xfId="0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6" fillId="4" borderId="31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81" fillId="0" borderId="0" xfId="0" applyFont="1" applyBorder="1" applyAlignment="1">
      <alignment horizontal="right" wrapText="1" readingOrder="1"/>
    </xf>
    <xf numFmtId="209" fontId="8" fillId="0" borderId="0" xfId="48" applyNumberFormat="1" applyFont="1" applyBorder="1" applyAlignment="1">
      <alignment vertical="center"/>
    </xf>
    <xf numFmtId="0" fontId="82" fillId="0" borderId="0" xfId="0" applyFont="1" applyBorder="1" applyAlignment="1">
      <alignment horizontal="right" wrapText="1" readingOrder="1"/>
    </xf>
    <xf numFmtId="0" fontId="0" fillId="0" borderId="0" xfId="0" applyFont="1" applyBorder="1" applyAlignment="1">
      <alignment/>
    </xf>
    <xf numFmtId="0" fontId="8" fillId="6" borderId="36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/>
    </xf>
    <xf numFmtId="0" fontId="8" fillId="34" borderId="37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8" fillId="34" borderId="31" xfId="0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75" fillId="34" borderId="33" xfId="0" applyFont="1" applyFill="1" applyBorder="1" applyAlignment="1">
      <alignment vertical="center" wrapText="1"/>
    </xf>
    <xf numFmtId="9" fontId="6" fillId="34" borderId="17" xfId="0" applyNumberFormat="1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47" xfId="0" applyFont="1" applyFill="1" applyBorder="1" applyAlignment="1">
      <alignment/>
    </xf>
    <xf numFmtId="0" fontId="6" fillId="34" borderId="16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justify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1" xfId="33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76" fillId="0" borderId="21" xfId="0" applyFont="1" applyFill="1" applyBorder="1" applyAlignment="1">
      <alignment horizontal="justify" vertical="center" wrapText="1"/>
    </xf>
    <xf numFmtId="0" fontId="75" fillId="35" borderId="48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35" borderId="35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justify" vertical="center" wrapText="1"/>
    </xf>
    <xf numFmtId="0" fontId="8" fillId="34" borderId="31" xfId="0" applyFont="1" applyFill="1" applyBorder="1" applyAlignment="1">
      <alignment horizontal="justify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NumberFormat="1" applyFont="1" applyFill="1" applyBorder="1" applyAlignment="1">
      <alignment horizontal="right" vertical="center"/>
    </xf>
    <xf numFmtId="0" fontId="8" fillId="34" borderId="22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>
      <alignment horizontal="right" vertical="center"/>
    </xf>
    <xf numFmtId="0" fontId="75" fillId="35" borderId="48" xfId="0" applyFont="1" applyFill="1" applyBorder="1" applyAlignment="1">
      <alignment horizontal="right" vertical="center" wrapText="1"/>
    </xf>
    <xf numFmtId="0" fontId="75" fillId="0" borderId="33" xfId="0" applyFont="1" applyFill="1" applyBorder="1" applyAlignment="1">
      <alignment horizontal="right" vertical="center" wrapText="1"/>
    </xf>
    <xf numFmtId="0" fontId="75" fillId="34" borderId="33" xfId="0" applyFont="1" applyFill="1" applyBorder="1" applyAlignment="1">
      <alignment horizontal="right" vertical="center" wrapText="1"/>
    </xf>
    <xf numFmtId="0" fontId="75" fillId="35" borderId="35" xfId="0" applyFont="1" applyFill="1" applyBorder="1" applyAlignment="1">
      <alignment horizontal="right" vertical="center" wrapText="1"/>
    </xf>
    <xf numFmtId="0" fontId="75" fillId="0" borderId="35" xfId="0" applyFont="1" applyFill="1" applyBorder="1" applyAlignment="1">
      <alignment horizontal="right" vertical="center" wrapText="1"/>
    </xf>
    <xf numFmtId="0" fontId="75" fillId="0" borderId="28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/>
    </xf>
    <xf numFmtId="0" fontId="83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justify" vertical="center" wrapText="1" shrinkToFit="1"/>
    </xf>
    <xf numFmtId="0" fontId="6" fillId="34" borderId="31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>
      <alignment horizontal="justify" vertical="center" wrapText="1"/>
    </xf>
    <xf numFmtId="0" fontId="6" fillId="34" borderId="22" xfId="0" applyFont="1" applyFill="1" applyBorder="1" applyAlignment="1">
      <alignment horizontal="right" vertical="center"/>
    </xf>
    <xf numFmtId="0" fontId="8" fillId="4" borderId="17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34" borderId="51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206" fontId="75" fillId="0" borderId="28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6" borderId="36" xfId="0" applyFont="1" applyFill="1" applyBorder="1" applyAlignment="1">
      <alignment horizontal="justify" vertical="center" wrapText="1"/>
    </xf>
    <xf numFmtId="0" fontId="8" fillId="6" borderId="17" xfId="0" applyFont="1" applyFill="1" applyBorder="1" applyAlignment="1">
      <alignment horizontal="justify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vertical="center" wrapText="1"/>
    </xf>
    <xf numFmtId="206" fontId="8" fillId="6" borderId="18" xfId="0" applyNumberFormat="1" applyFont="1" applyFill="1" applyBorder="1" applyAlignment="1">
      <alignment vertical="center" wrapText="1"/>
    </xf>
    <xf numFmtId="206" fontId="8" fillId="6" borderId="16" xfId="0" applyNumberFormat="1" applyFont="1" applyFill="1" applyBorder="1" applyAlignment="1">
      <alignment vertical="center" wrapText="1"/>
    </xf>
    <xf numFmtId="206" fontId="8" fillId="0" borderId="16" xfId="0" applyNumberFormat="1" applyFont="1" applyFill="1" applyBorder="1" applyAlignment="1">
      <alignment vertical="center" wrapText="1"/>
    </xf>
    <xf numFmtId="206" fontId="8" fillId="0" borderId="19" xfId="0" applyNumberFormat="1" applyFont="1" applyFill="1" applyBorder="1" applyAlignment="1">
      <alignment vertical="center" wrapText="1"/>
    </xf>
    <xf numFmtId="0" fontId="15" fillId="6" borderId="17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justify" wrapText="1"/>
    </xf>
    <xf numFmtId="0" fontId="6" fillId="34" borderId="17" xfId="0" applyFont="1" applyFill="1" applyBorder="1" applyAlignment="1">
      <alignment wrapText="1"/>
    </xf>
    <xf numFmtId="0" fontId="76" fillId="0" borderId="20" xfId="0" applyFont="1" applyFill="1" applyBorder="1" applyAlignment="1">
      <alignment horizontal="justify" vertical="center" wrapText="1"/>
    </xf>
    <xf numFmtId="0" fontId="76" fillId="34" borderId="20" xfId="0" applyFont="1" applyFill="1" applyBorder="1" applyAlignment="1">
      <alignment horizontal="justify" vertical="center" wrapText="1"/>
    </xf>
    <xf numFmtId="0" fontId="76" fillId="34" borderId="20" xfId="0" applyFont="1" applyFill="1" applyBorder="1" applyAlignment="1">
      <alignment vertical="center" wrapText="1"/>
    </xf>
    <xf numFmtId="0" fontId="75" fillId="35" borderId="53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34" borderId="54" xfId="0" applyFont="1" applyFill="1" applyBorder="1" applyAlignment="1">
      <alignment vertical="center" wrapText="1"/>
    </xf>
    <xf numFmtId="0" fontId="75" fillId="35" borderId="54" xfId="0" applyFont="1" applyFill="1" applyBorder="1" applyAlignment="1">
      <alignment horizontal="center" vertical="center" wrapText="1"/>
    </xf>
    <xf numFmtId="206" fontId="75" fillId="0" borderId="55" xfId="0" applyNumberFormat="1" applyFont="1" applyFill="1" applyBorder="1" applyAlignment="1">
      <alignment vertical="center" wrapText="1"/>
    </xf>
    <xf numFmtId="206" fontId="6" fillId="3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206" fontId="6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06" fontId="6" fillId="0" borderId="16" xfId="0" applyNumberFormat="1" applyFont="1" applyFill="1" applyBorder="1" applyAlignment="1">
      <alignment horizontal="right" vertical="center" wrapText="1"/>
    </xf>
    <xf numFmtId="206" fontId="6" fillId="34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justify" vertical="center"/>
    </xf>
    <xf numFmtId="0" fontId="6" fillId="34" borderId="17" xfId="0" applyNumberFormat="1" applyFont="1" applyFill="1" applyBorder="1" applyAlignment="1">
      <alignment horizontal="justify" vertical="center"/>
    </xf>
    <xf numFmtId="0" fontId="6" fillId="34" borderId="30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4" borderId="5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206" fontId="6" fillId="4" borderId="44" xfId="0" applyNumberFormat="1" applyFont="1" applyFill="1" applyBorder="1" applyAlignment="1">
      <alignment horizontal="right" vertical="center" wrapText="1"/>
    </xf>
    <xf numFmtId="0" fontId="6" fillId="4" borderId="31" xfId="0" applyFont="1" applyFill="1" applyBorder="1" applyAlignment="1">
      <alignment horizontal="right" vertical="center"/>
    </xf>
    <xf numFmtId="206" fontId="6" fillId="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206" fontId="6" fillId="0" borderId="1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justify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/>
    </xf>
    <xf numFmtId="0" fontId="9" fillId="6" borderId="17" xfId="0" applyFont="1" applyFill="1" applyBorder="1" applyAlignment="1">
      <alignment horizontal="justify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justify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right" vertical="center" wrapText="1"/>
    </xf>
    <xf numFmtId="0" fontId="8" fillId="6" borderId="44" xfId="0" applyFont="1" applyFill="1" applyBorder="1" applyAlignment="1">
      <alignment vertical="center"/>
    </xf>
    <xf numFmtId="0" fontId="9" fillId="6" borderId="44" xfId="0" applyFont="1" applyFill="1" applyBorder="1" applyAlignment="1">
      <alignment horizontal="right" vertical="center" wrapText="1"/>
    </xf>
    <xf numFmtId="0" fontId="8" fillId="6" borderId="18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 wrapText="1"/>
    </xf>
    <xf numFmtId="0" fontId="8" fillId="6" borderId="22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right" vertical="center" wrapText="1"/>
    </xf>
    <xf numFmtId="0" fontId="8" fillId="6" borderId="19" xfId="0" applyFont="1" applyFill="1" applyBorder="1" applyAlignment="1">
      <alignment vertical="center"/>
    </xf>
    <xf numFmtId="0" fontId="6" fillId="4" borderId="17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justify" vertical="center" wrapText="1"/>
    </xf>
    <xf numFmtId="0" fontId="8" fillId="4" borderId="49" xfId="0" applyFont="1" applyFill="1" applyBorder="1" applyAlignment="1">
      <alignment vertical="center" wrapText="1"/>
    </xf>
    <xf numFmtId="0" fontId="6" fillId="4" borderId="56" xfId="0" applyNumberFormat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vertical="center" wrapText="1"/>
    </xf>
    <xf numFmtId="0" fontId="6" fillId="4" borderId="31" xfId="0" applyNumberFormat="1" applyFont="1" applyFill="1" applyBorder="1" applyAlignment="1">
      <alignment horizontal="center" vertical="center" wrapText="1"/>
    </xf>
    <xf numFmtId="0" fontId="9" fillId="34" borderId="31" xfId="0" applyNumberFormat="1" applyFont="1" applyFill="1" applyBorder="1" applyAlignment="1">
      <alignment horizontal="center" vertical="center" wrapText="1"/>
    </xf>
    <xf numFmtId="0" fontId="9" fillId="34" borderId="39" xfId="0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left" vertical="center" wrapText="1"/>
    </xf>
    <xf numFmtId="0" fontId="6" fillId="4" borderId="51" xfId="0" applyNumberFormat="1" applyFont="1" applyFill="1" applyBorder="1" applyAlignment="1">
      <alignment horizontal="left" vertical="center" wrapText="1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8" fillId="4" borderId="18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right" vertical="center" wrapText="1"/>
    </xf>
    <xf numFmtId="0" fontId="9" fillId="34" borderId="3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6" fillId="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right" vertical="center"/>
    </xf>
    <xf numFmtId="0" fontId="8" fillId="4" borderId="18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6" fillId="34" borderId="51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206" fontId="8" fillId="0" borderId="16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6" fillId="36" borderId="36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center"/>
    </xf>
    <xf numFmtId="0" fontId="6" fillId="6" borderId="36" xfId="0" applyNumberFormat="1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36" xfId="0" applyFont="1" applyFill="1" applyBorder="1" applyAlignment="1">
      <alignment horizontal="justify" vertical="center" wrapText="1"/>
    </xf>
    <xf numFmtId="0" fontId="8" fillId="4" borderId="33" xfId="0" applyFont="1" applyFill="1" applyBorder="1" applyAlignment="1">
      <alignment horizontal="justify" vertical="center" wrapText="1"/>
    </xf>
    <xf numFmtId="165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justify" wrapText="1"/>
    </xf>
    <xf numFmtId="0" fontId="8" fillId="4" borderId="60" xfId="0" applyFont="1" applyFill="1" applyBorder="1" applyAlignment="1">
      <alignment horizontal="justify" vertical="center" wrapText="1"/>
    </xf>
    <xf numFmtId="0" fontId="8" fillId="4" borderId="6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1" fontId="6" fillId="34" borderId="10" xfId="0" applyNumberFormat="1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justify" vertical="center" wrapText="1"/>
    </xf>
    <xf numFmtId="0" fontId="6" fillId="34" borderId="30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horizontal="justify" vertical="center" wrapText="1"/>
    </xf>
    <xf numFmtId="0" fontId="6" fillId="4" borderId="56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wrapText="1"/>
    </xf>
    <xf numFmtId="0" fontId="8" fillId="4" borderId="49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6" fillId="4" borderId="44" xfId="0" applyFont="1" applyFill="1" applyBorder="1" applyAlignment="1">
      <alignment vertical="center" wrapText="1"/>
    </xf>
    <xf numFmtId="0" fontId="6" fillId="4" borderId="51" xfId="0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6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9" fontId="18" fillId="0" borderId="46" xfId="0" applyNumberFormat="1" applyFont="1" applyBorder="1" applyAlignment="1">
      <alignment horizontal="center"/>
    </xf>
    <xf numFmtId="0" fontId="18" fillId="0" borderId="20" xfId="0" applyFont="1" applyBorder="1" applyAlignment="1">
      <alignment horizontal="right" vertical="top" wrapText="1"/>
    </xf>
    <xf numFmtId="0" fontId="18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right"/>
    </xf>
    <xf numFmtId="0" fontId="19" fillId="0" borderId="46" xfId="0" applyFont="1" applyBorder="1" applyAlignment="1">
      <alignment horizontal="right"/>
    </xf>
    <xf numFmtId="9" fontId="19" fillId="0" borderId="46" xfId="0" applyNumberFormat="1" applyFont="1" applyBorder="1" applyAlignment="1">
      <alignment horizontal="center"/>
    </xf>
    <xf numFmtId="0" fontId="19" fillId="0" borderId="21" xfId="0" applyFont="1" applyBorder="1" applyAlignment="1">
      <alignment vertical="top" wrapText="1"/>
    </xf>
    <xf numFmtId="0" fontId="19" fillId="0" borderId="63" xfId="0" applyFont="1" applyBorder="1" applyAlignment="1">
      <alignment/>
    </xf>
    <xf numFmtId="0" fontId="19" fillId="0" borderId="21" xfId="0" applyFont="1" applyBorder="1" applyAlignment="1">
      <alignment horizontal="right"/>
    </xf>
    <xf numFmtId="0" fontId="19" fillId="0" borderId="64" xfId="0" applyFont="1" applyBorder="1" applyAlignment="1">
      <alignment horizontal="right"/>
    </xf>
    <xf numFmtId="9" fontId="19" fillId="0" borderId="6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6" xfId="0" applyFont="1" applyBorder="1" applyAlignment="1">
      <alignment/>
    </xf>
    <xf numFmtId="0" fontId="11" fillId="0" borderId="39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39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0" fillId="6" borderId="14" xfId="0" applyFill="1" applyBorder="1" applyAlignment="1">
      <alignment/>
    </xf>
    <xf numFmtId="0" fontId="0" fillId="6" borderId="65" xfId="0" applyFill="1" applyBorder="1" applyAlignment="1">
      <alignment/>
    </xf>
    <xf numFmtId="0" fontId="0" fillId="6" borderId="66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46" xfId="0" applyFill="1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4" borderId="56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horizontal="right" vertical="center" wrapText="1"/>
    </xf>
    <xf numFmtId="0" fontId="77" fillId="35" borderId="0" xfId="0" applyFont="1" applyFill="1" applyAlignment="1">
      <alignment/>
    </xf>
    <xf numFmtId="0" fontId="6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6" fillId="6" borderId="44" xfId="0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0" fillId="6" borderId="0" xfId="0" applyFont="1" applyFill="1" applyAlignment="1">
      <alignment horizontal="right"/>
    </xf>
    <xf numFmtId="0" fontId="6" fillId="6" borderId="16" xfId="0" applyFont="1" applyFill="1" applyBorder="1" applyAlignment="1">
      <alignment horizontal="right" vertical="center" wrapText="1"/>
    </xf>
    <xf numFmtId="0" fontId="75" fillId="34" borderId="35" xfId="0" applyFont="1" applyFill="1" applyBorder="1" applyAlignment="1">
      <alignment horizontal="center" vertical="center" wrapText="1"/>
    </xf>
    <xf numFmtId="0" fontId="84" fillId="0" borderId="67" xfId="0" applyFont="1" applyBorder="1" applyAlignment="1">
      <alignment horizontal="center" vertical="center" wrapText="1" readingOrder="1"/>
    </xf>
    <xf numFmtId="0" fontId="84" fillId="0" borderId="67" xfId="0" applyFont="1" applyBorder="1" applyAlignment="1">
      <alignment horizontal="center" wrapText="1" readingOrder="1"/>
    </xf>
    <xf numFmtId="0" fontId="85" fillId="0" borderId="68" xfId="0" applyFont="1" applyBorder="1" applyAlignment="1">
      <alignment horizontal="left" wrapText="1" readingOrder="1"/>
    </xf>
    <xf numFmtId="0" fontId="84" fillId="0" borderId="68" xfId="0" applyFont="1" applyBorder="1" applyAlignment="1">
      <alignment horizontal="center" vertical="center" wrapText="1" readingOrder="1"/>
    </xf>
    <xf numFmtId="0" fontId="84" fillId="0" borderId="68" xfId="0" applyFont="1" applyBorder="1" applyAlignment="1">
      <alignment horizontal="center" wrapText="1" readingOrder="1"/>
    </xf>
    <xf numFmtId="0" fontId="84" fillId="0" borderId="67" xfId="0" applyFont="1" applyBorder="1" applyAlignment="1">
      <alignment horizontal="left" wrapText="1" readingOrder="1"/>
    </xf>
    <xf numFmtId="0" fontId="84" fillId="0" borderId="67" xfId="0" applyFont="1" applyBorder="1" applyAlignment="1">
      <alignment horizontal="right" wrapText="1" readingOrder="1"/>
    </xf>
    <xf numFmtId="9" fontId="84" fillId="0" borderId="67" xfId="0" applyNumberFormat="1" applyFont="1" applyBorder="1" applyAlignment="1">
      <alignment horizontal="center" wrapText="1" readingOrder="1"/>
    </xf>
    <xf numFmtId="0" fontId="84" fillId="0" borderId="69" xfId="0" applyFont="1" applyBorder="1" applyAlignment="1">
      <alignment horizontal="right" vertical="top" wrapText="1" readingOrder="1"/>
    </xf>
    <xf numFmtId="0" fontId="84" fillId="0" borderId="69" xfId="0" applyFont="1" applyBorder="1" applyAlignment="1">
      <alignment horizontal="left" wrapText="1" readingOrder="1"/>
    </xf>
    <xf numFmtId="0" fontId="84" fillId="0" borderId="69" xfId="0" applyFont="1" applyBorder="1" applyAlignment="1">
      <alignment horizontal="right" wrapText="1" readingOrder="1"/>
    </xf>
    <xf numFmtId="9" fontId="84" fillId="0" borderId="69" xfId="0" applyNumberFormat="1" applyFont="1" applyBorder="1" applyAlignment="1">
      <alignment horizontal="center" wrapText="1" readingOrder="1"/>
    </xf>
    <xf numFmtId="0" fontId="84" fillId="0" borderId="69" xfId="0" applyFont="1" applyBorder="1" applyAlignment="1">
      <alignment horizontal="left" vertical="top" wrapText="1" readingOrder="1"/>
    </xf>
    <xf numFmtId="0" fontId="85" fillId="0" borderId="69" xfId="0" applyFont="1" applyBorder="1" applyAlignment="1">
      <alignment horizontal="left" vertical="top" wrapText="1" readingOrder="1"/>
    </xf>
    <xf numFmtId="0" fontId="85" fillId="0" borderId="69" xfId="0" applyFont="1" applyBorder="1" applyAlignment="1">
      <alignment horizontal="left" wrapText="1" readingOrder="1"/>
    </xf>
    <xf numFmtId="0" fontId="85" fillId="0" borderId="69" xfId="0" applyFont="1" applyBorder="1" applyAlignment="1">
      <alignment horizontal="right" wrapText="1" readingOrder="1"/>
    </xf>
    <xf numFmtId="9" fontId="85" fillId="0" borderId="69" xfId="0" applyNumberFormat="1" applyFont="1" applyBorder="1" applyAlignment="1">
      <alignment horizontal="center" wrapText="1" readingOrder="1"/>
    </xf>
    <xf numFmtId="0" fontId="85" fillId="0" borderId="68" xfId="0" applyFont="1" applyBorder="1" applyAlignment="1">
      <alignment horizontal="left" vertical="top" wrapText="1" readingOrder="1"/>
    </xf>
    <xf numFmtId="0" fontId="85" fillId="0" borderId="68" xfId="0" applyFont="1" applyBorder="1" applyAlignment="1">
      <alignment horizontal="right" wrapText="1" readingOrder="1"/>
    </xf>
    <xf numFmtId="9" fontId="85" fillId="0" borderId="68" xfId="0" applyNumberFormat="1" applyFont="1" applyBorder="1" applyAlignment="1">
      <alignment horizontal="center" wrapText="1" readingOrder="1"/>
    </xf>
    <xf numFmtId="0" fontId="11" fillId="0" borderId="44" xfId="0" applyFont="1" applyBorder="1" applyAlignment="1">
      <alignment/>
    </xf>
    <xf numFmtId="206" fontId="8" fillId="6" borderId="10" xfId="0" applyNumberFormat="1" applyFont="1" applyFill="1" applyBorder="1" applyAlignment="1">
      <alignment vertical="center" wrapText="1"/>
    </xf>
    <xf numFmtId="0" fontId="6" fillId="6" borderId="10" xfId="0" applyFont="1" applyFill="1" applyBorder="1" applyAlignment="1">
      <alignment/>
    </xf>
    <xf numFmtId="206" fontId="8" fillId="0" borderId="10" xfId="0" applyNumberFormat="1" applyFont="1" applyFill="1" applyBorder="1" applyAlignment="1">
      <alignment vertical="center" wrapText="1"/>
    </xf>
    <xf numFmtId="0" fontId="6" fillId="6" borderId="56" xfId="0" applyFont="1" applyFill="1" applyBorder="1" applyAlignment="1">
      <alignment vertical="center" wrapText="1"/>
    </xf>
    <xf numFmtId="0" fontId="6" fillId="6" borderId="44" xfId="0" applyFont="1" applyFill="1" applyBorder="1" applyAlignment="1">
      <alignment vertical="center" wrapText="1"/>
    </xf>
    <xf numFmtId="206" fontId="8" fillId="6" borderId="44" xfId="0" applyNumberFormat="1" applyFont="1" applyFill="1" applyBorder="1" applyAlignment="1">
      <alignment vertical="center" wrapText="1"/>
    </xf>
    <xf numFmtId="0" fontId="6" fillId="6" borderId="44" xfId="0" applyFont="1" applyFill="1" applyBorder="1" applyAlignment="1">
      <alignment/>
    </xf>
    <xf numFmtId="206" fontId="8" fillId="0" borderId="2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06" fontId="8" fillId="0" borderId="16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right"/>
    </xf>
    <xf numFmtId="0" fontId="8" fillId="0" borderId="22" xfId="0" applyFont="1" applyBorder="1" applyAlignment="1">
      <alignment horizontal="right" vertical="center" wrapText="1"/>
    </xf>
    <xf numFmtId="206" fontId="8" fillId="0" borderId="19" xfId="0" applyNumberFormat="1" applyFont="1" applyFill="1" applyBorder="1" applyAlignment="1">
      <alignment horizontal="right" vertical="center" wrapText="1"/>
    </xf>
    <xf numFmtId="0" fontId="6" fillId="6" borderId="31" xfId="0" applyFont="1" applyFill="1" applyBorder="1" applyAlignment="1">
      <alignment vertical="center"/>
    </xf>
    <xf numFmtId="0" fontId="8" fillId="4" borderId="44" xfId="0" applyFont="1" applyFill="1" applyBorder="1" applyAlignment="1">
      <alignment horizontal="right" vertical="center" wrapText="1"/>
    </xf>
    <xf numFmtId="0" fontId="8" fillId="4" borderId="49" xfId="0" applyFont="1" applyFill="1" applyBorder="1" applyAlignment="1">
      <alignment horizontal="right"/>
    </xf>
    <xf numFmtId="0" fontId="8" fillId="4" borderId="58" xfId="0" applyFont="1" applyFill="1" applyBorder="1" applyAlignment="1">
      <alignment horizontal="right"/>
    </xf>
    <xf numFmtId="0" fontId="8" fillId="34" borderId="49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 vertical="center"/>
    </xf>
    <xf numFmtId="0" fontId="8" fillId="4" borderId="31" xfId="0" applyFont="1" applyFill="1" applyBorder="1" applyAlignment="1">
      <alignment horizontal="right" vertical="center" wrapText="1"/>
    </xf>
    <xf numFmtId="0" fontId="8" fillId="34" borderId="31" xfId="0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8" fillId="4" borderId="60" xfId="0" applyFont="1" applyFill="1" applyBorder="1" applyAlignment="1">
      <alignment horizontal="right" vertical="center"/>
    </xf>
    <xf numFmtId="0" fontId="0" fillId="0" borderId="31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0" fillId="0" borderId="49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50" xfId="0" applyFont="1" applyBorder="1" applyAlignment="1">
      <alignment horizontal="right"/>
    </xf>
    <xf numFmtId="0" fontId="7" fillId="6" borderId="10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14" fillId="34" borderId="40" xfId="0" applyFont="1" applyFill="1" applyBorder="1" applyAlignment="1">
      <alignment horizontal="right" vertical="center"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vertical="center"/>
    </xf>
    <xf numFmtId="0" fontId="0" fillId="34" borderId="56" xfId="0" applyFont="1" applyFill="1" applyBorder="1" applyAlignment="1">
      <alignment horizontal="left" wrapText="1"/>
    </xf>
    <xf numFmtId="0" fontId="11" fillId="34" borderId="44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left"/>
    </xf>
    <xf numFmtId="0" fontId="82" fillId="34" borderId="31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6" borderId="17" xfId="0" applyFont="1" applyFill="1" applyBorder="1" applyAlignment="1">
      <alignment horizontal="left" vertical="center" wrapText="1"/>
    </xf>
    <xf numFmtId="9" fontId="8" fillId="34" borderId="20" xfId="0" applyNumberFormat="1" applyFont="1" applyFill="1" applyBorder="1" applyAlignment="1">
      <alignment/>
    </xf>
    <xf numFmtId="0" fontId="80" fillId="34" borderId="17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textRotation="90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49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8" fillId="34" borderId="51" xfId="0" applyFont="1" applyFill="1" applyBorder="1" applyAlignment="1">
      <alignment horizontal="justify" vertical="center" wrapText="1"/>
    </xf>
    <xf numFmtId="0" fontId="8" fillId="34" borderId="51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justify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justify" vertical="center" wrapText="1"/>
    </xf>
    <xf numFmtId="0" fontId="8" fillId="34" borderId="3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left" vertical="center" wrapText="1"/>
    </xf>
    <xf numFmtId="0" fontId="6" fillId="6" borderId="57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9" fillId="34" borderId="31" xfId="0" applyNumberFormat="1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34" borderId="51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wrapText="1"/>
    </xf>
    <xf numFmtId="0" fontId="75" fillId="34" borderId="13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wrapText="1"/>
    </xf>
    <xf numFmtId="218" fontId="0" fillId="0" borderId="0" xfId="0" applyNumberFormat="1" applyAlignment="1">
      <alignment/>
    </xf>
    <xf numFmtId="0" fontId="6" fillId="34" borderId="60" xfId="0" applyFont="1" applyFill="1" applyBorder="1" applyAlignment="1">
      <alignment vertical="center" wrapText="1"/>
    </xf>
    <xf numFmtId="0" fontId="6" fillId="34" borderId="70" xfId="0" applyFont="1" applyFill="1" applyBorder="1" applyAlignment="1">
      <alignment horizontal="right" vertical="center" wrapText="1"/>
    </xf>
    <xf numFmtId="0" fontId="6" fillId="34" borderId="45" xfId="0" applyFont="1" applyFill="1" applyBorder="1" applyAlignment="1">
      <alignment/>
    </xf>
    <xf numFmtId="0" fontId="6" fillId="34" borderId="43" xfId="0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76" fillId="34" borderId="41" xfId="0" applyFont="1" applyFill="1" applyBorder="1" applyAlignment="1">
      <alignment vertical="center" wrapText="1"/>
    </xf>
    <xf numFmtId="3" fontId="0" fillId="6" borderId="10" xfId="0" applyNumberFormat="1" applyFont="1" applyFill="1" applyBorder="1" applyAlignment="1">
      <alignment horizontal="right"/>
    </xf>
    <xf numFmtId="167" fontId="86" fillId="6" borderId="1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4" borderId="44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right" vertical="center" wrapText="1"/>
    </xf>
    <xf numFmtId="0" fontId="75" fillId="34" borderId="54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vertical="center" wrapText="1"/>
    </xf>
    <xf numFmtId="0" fontId="75" fillId="34" borderId="19" xfId="0" applyFont="1" applyFill="1" applyBorder="1" applyAlignment="1">
      <alignment vertical="center" wrapText="1"/>
    </xf>
    <xf numFmtId="0" fontId="8" fillId="6" borderId="57" xfId="0" applyFont="1" applyFill="1" applyBorder="1" applyAlignment="1">
      <alignment horizontal="left" vertical="center" wrapText="1"/>
    </xf>
    <xf numFmtId="0" fontId="8" fillId="6" borderId="52" xfId="0" applyFont="1" applyFill="1" applyBorder="1" applyAlignment="1">
      <alignment horizontal="left" vertical="center" wrapText="1"/>
    </xf>
    <xf numFmtId="0" fontId="75" fillId="34" borderId="35" xfId="0" applyFont="1" applyFill="1" applyBorder="1" applyAlignment="1">
      <alignment vertical="center" wrapText="1"/>
    </xf>
    <xf numFmtId="0" fontId="0" fillId="6" borderId="44" xfId="0" applyFill="1" applyBorder="1" applyAlignment="1">
      <alignment horizontal="right"/>
    </xf>
    <xf numFmtId="0" fontId="8" fillId="6" borderId="22" xfId="0" applyFont="1" applyFill="1" applyBorder="1" applyAlignment="1">
      <alignment horizontal="right" vertical="center" wrapText="1"/>
    </xf>
    <xf numFmtId="0" fontId="6" fillId="6" borderId="22" xfId="0" applyFont="1" applyFill="1" applyBorder="1" applyAlignment="1">
      <alignment horizontal="right" vertical="center" wrapText="1"/>
    </xf>
    <xf numFmtId="0" fontId="8" fillId="6" borderId="19" xfId="0" applyFont="1" applyFill="1" applyBorder="1" applyAlignment="1">
      <alignment horizontal="right" vertical="center" wrapText="1"/>
    </xf>
    <xf numFmtId="0" fontId="6" fillId="6" borderId="33" xfId="0" applyFont="1" applyFill="1" applyBorder="1" applyAlignment="1">
      <alignment horizontal="right" vertical="center" wrapText="1"/>
    </xf>
    <xf numFmtId="0" fontId="6" fillId="6" borderId="28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right" vertical="center" textRotation="90" wrapText="1"/>
    </xf>
    <xf numFmtId="0" fontId="6" fillId="34" borderId="31" xfId="0" applyFont="1" applyFill="1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vertical="center" wrapText="1"/>
    </xf>
    <xf numFmtId="0" fontId="8" fillId="34" borderId="60" xfId="0" applyFont="1" applyFill="1" applyBorder="1" applyAlignment="1">
      <alignment horizontal="right" vertical="center" wrapText="1"/>
    </xf>
    <xf numFmtId="0" fontId="6" fillId="4" borderId="36" xfId="33" applyFont="1" applyFill="1" applyBorder="1" applyAlignment="1">
      <alignment horizontal="left" vertical="center" wrapText="1"/>
    </xf>
    <xf numFmtId="0" fontId="6" fillId="4" borderId="71" xfId="0" applyFont="1" applyFill="1" applyBorder="1" applyAlignment="1">
      <alignment horizontal="left" vertical="center" wrapText="1"/>
    </xf>
    <xf numFmtId="0" fontId="6" fillId="4" borderId="72" xfId="0" applyFont="1" applyFill="1" applyBorder="1" applyAlignment="1">
      <alignment horizontal="left" vertical="center" wrapText="1"/>
    </xf>
    <xf numFmtId="0" fontId="6" fillId="34" borderId="72" xfId="0" applyFont="1" applyFill="1" applyBorder="1" applyAlignment="1">
      <alignment horizontal="left" vertical="center" wrapText="1"/>
    </xf>
    <xf numFmtId="0" fontId="8" fillId="34" borderId="72" xfId="0" applyFont="1" applyFill="1" applyBorder="1" applyAlignment="1">
      <alignment horizontal="left" vertical="center" wrapText="1"/>
    </xf>
    <xf numFmtId="0" fontId="8" fillId="34" borderId="73" xfId="0" applyFont="1" applyFill="1" applyBorder="1" applyAlignment="1">
      <alignment horizontal="left" vertical="center" wrapText="1"/>
    </xf>
    <xf numFmtId="0" fontId="6" fillId="4" borderId="58" xfId="0" applyFont="1" applyFill="1" applyBorder="1" applyAlignment="1">
      <alignment horizontal="right" vertical="center" wrapText="1"/>
    </xf>
    <xf numFmtId="0" fontId="6" fillId="4" borderId="49" xfId="0" applyFont="1" applyFill="1" applyBorder="1" applyAlignment="1">
      <alignment horizontal="right" vertical="center" wrapText="1"/>
    </xf>
    <xf numFmtId="0" fontId="51" fillId="34" borderId="49" xfId="33" applyFont="1" applyFill="1" applyBorder="1" applyAlignment="1">
      <alignment horizontal="center" vertical="center" wrapText="1"/>
    </xf>
    <xf numFmtId="0" fontId="51" fillId="34" borderId="70" xfId="33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75" xfId="0" applyFont="1" applyFill="1" applyBorder="1" applyAlignment="1">
      <alignment horizontal="right" vertical="center" wrapText="1"/>
    </xf>
    <xf numFmtId="0" fontId="75" fillId="34" borderId="7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6" fillId="34" borderId="45" xfId="0" applyFont="1" applyFill="1" applyBorder="1" applyAlignment="1">
      <alignment horizontal="justify" vertical="center" wrapText="1"/>
    </xf>
    <xf numFmtId="0" fontId="6" fillId="34" borderId="59" xfId="33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vertical="center" wrapText="1"/>
    </xf>
    <xf numFmtId="0" fontId="8" fillId="34" borderId="77" xfId="0" applyFont="1" applyFill="1" applyBorder="1" applyAlignment="1">
      <alignment/>
    </xf>
    <xf numFmtId="0" fontId="75" fillId="34" borderId="40" xfId="0" applyFont="1" applyFill="1" applyBorder="1" applyAlignment="1">
      <alignment horizontal="right" vertical="center" wrapText="1"/>
    </xf>
    <xf numFmtId="0" fontId="75" fillId="34" borderId="13" xfId="0" applyFont="1" applyFill="1" applyBorder="1" applyAlignment="1">
      <alignment horizontal="right" vertical="center" wrapText="1"/>
    </xf>
    <xf numFmtId="0" fontId="0" fillId="34" borderId="65" xfId="0" applyFill="1" applyBorder="1" applyAlignment="1">
      <alignment/>
    </xf>
    <xf numFmtId="0" fontId="0" fillId="34" borderId="47" xfId="0" applyFont="1" applyFill="1" applyBorder="1" applyAlignment="1">
      <alignment horizontal="center" wrapText="1"/>
    </xf>
    <xf numFmtId="0" fontId="75" fillId="34" borderId="70" xfId="0" applyFont="1" applyFill="1" applyBorder="1" applyAlignment="1">
      <alignment vertical="center" wrapText="1"/>
    </xf>
    <xf numFmtId="218" fontId="87" fillId="37" borderId="20" xfId="0" applyNumberFormat="1" applyFont="1" applyFill="1" applyBorder="1" applyAlignment="1">
      <alignment horizontal="right"/>
    </xf>
    <xf numFmtId="218" fontId="87" fillId="37" borderId="46" xfId="0" applyNumberFormat="1" applyFont="1" applyFill="1" applyBorder="1" applyAlignment="1">
      <alignment horizontal="right"/>
    </xf>
    <xf numFmtId="0" fontId="88" fillId="6" borderId="10" xfId="0" applyFont="1" applyFill="1" applyBorder="1" applyAlignment="1">
      <alignment vertical="center" wrapText="1"/>
    </xf>
    <xf numFmtId="0" fontId="6" fillId="6" borderId="49" xfId="0" applyFont="1" applyFill="1" applyBorder="1" applyAlignment="1">
      <alignment vertical="center" wrapText="1"/>
    </xf>
    <xf numFmtId="0" fontId="8" fillId="34" borderId="49" xfId="0" applyFont="1" applyFill="1" applyBorder="1" applyAlignment="1">
      <alignment horizontal="right" vertical="center" wrapText="1"/>
    </xf>
    <xf numFmtId="0" fontId="8" fillId="34" borderId="49" xfId="0" applyFont="1" applyFill="1" applyBorder="1" applyAlignment="1">
      <alignment horizontal="right" vertical="center"/>
    </xf>
    <xf numFmtId="0" fontId="0" fillId="34" borderId="49" xfId="0" applyFont="1" applyFill="1" applyBorder="1" applyAlignment="1">
      <alignment horizontal="right"/>
    </xf>
    <xf numFmtId="0" fontId="8" fillId="34" borderId="50" xfId="0" applyFont="1" applyFill="1" applyBorder="1" applyAlignment="1">
      <alignment horizontal="right" vertical="center" wrapText="1"/>
    </xf>
    <xf numFmtId="0" fontId="8" fillId="34" borderId="78" xfId="0" applyFont="1" applyFill="1" applyBorder="1" applyAlignment="1">
      <alignment horizontal="justify" vertical="center" wrapText="1"/>
    </xf>
    <xf numFmtId="0" fontId="8" fillId="34" borderId="52" xfId="0" applyFont="1" applyFill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76" fillId="0" borderId="13" xfId="0" applyFont="1" applyFill="1" applyBorder="1" applyAlignment="1">
      <alignment horizontal="justify" vertical="center" wrapText="1"/>
    </xf>
    <xf numFmtId="0" fontId="76" fillId="0" borderId="13" xfId="0" applyFont="1" applyFill="1" applyBorder="1" applyAlignment="1">
      <alignment vertical="center" wrapText="1"/>
    </xf>
    <xf numFmtId="0" fontId="75" fillId="35" borderId="43" xfId="0" applyFont="1" applyFill="1" applyBorder="1" applyAlignment="1">
      <alignment horizontal="right" vertical="center" wrapText="1"/>
    </xf>
    <xf numFmtId="0" fontId="75" fillId="0" borderId="40" xfId="0" applyFont="1" applyFill="1" applyBorder="1" applyAlignment="1">
      <alignment horizontal="right" vertical="center" wrapText="1"/>
    </xf>
    <xf numFmtId="0" fontId="75" fillId="35" borderId="40" xfId="0" applyFont="1" applyFill="1" applyBorder="1" applyAlignment="1">
      <alignment horizontal="right" vertical="center" wrapText="1"/>
    </xf>
    <xf numFmtId="0" fontId="75" fillId="0" borderId="41" xfId="0" applyFont="1" applyFill="1" applyBorder="1" applyAlignment="1">
      <alignment horizontal="right" vertical="center" wrapText="1"/>
    </xf>
    <xf numFmtId="0" fontId="0" fillId="0" borderId="65" xfId="0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4" borderId="44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wrapText="1"/>
    </xf>
    <xf numFmtId="206" fontId="6" fillId="4" borderId="16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75" fillId="34" borderId="16" xfId="0" applyFont="1" applyFill="1" applyBorder="1" applyAlignment="1">
      <alignment vertical="center" wrapText="1"/>
    </xf>
    <xf numFmtId="0" fontId="75" fillId="35" borderId="79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vertical="center" wrapText="1"/>
    </xf>
    <xf numFmtId="0" fontId="75" fillId="34" borderId="80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209" fontId="8" fillId="0" borderId="20" xfId="48" applyNumberFormat="1" applyFont="1" applyBorder="1" applyAlignment="1">
      <alignment vertical="center" textRotation="90" wrapText="1"/>
    </xf>
    <xf numFmtId="196" fontId="8" fillId="0" borderId="53" xfId="0" applyNumberFormat="1" applyFont="1" applyBorder="1" applyAlignment="1">
      <alignment vertical="center" textRotation="90" wrapText="1"/>
    </xf>
    <xf numFmtId="0" fontId="8" fillId="0" borderId="55" xfId="0" applyFont="1" applyBorder="1" applyAlignment="1">
      <alignment vertical="center" textRotation="90" wrapText="1"/>
    </xf>
    <xf numFmtId="0" fontId="8" fillId="0" borderId="64" xfId="0" applyFont="1" applyBorder="1" applyAlignment="1">
      <alignment vertical="center" wrapText="1"/>
    </xf>
    <xf numFmtId="209" fontId="8" fillId="0" borderId="21" xfId="48" applyNumberFormat="1" applyFont="1" applyBorder="1" applyAlignment="1">
      <alignment vertical="center" textRotation="90" wrapText="1"/>
    </xf>
    <xf numFmtId="196" fontId="8" fillId="0" borderId="79" xfId="0" applyNumberFormat="1" applyFont="1" applyBorder="1" applyAlignment="1">
      <alignment vertical="center" textRotation="90" wrapText="1"/>
    </xf>
    <xf numFmtId="0" fontId="8" fillId="0" borderId="32" xfId="0" applyFont="1" applyBorder="1" applyAlignment="1">
      <alignment vertical="center" textRotation="90" wrapText="1"/>
    </xf>
    <xf numFmtId="209" fontId="8" fillId="0" borderId="53" xfId="48" applyNumberFormat="1" applyFont="1" applyBorder="1" applyAlignment="1">
      <alignment vertical="center" textRotation="90" wrapText="1"/>
    </xf>
    <xf numFmtId="196" fontId="8" fillId="0" borderId="54" xfId="0" applyNumberFormat="1" applyFont="1" applyBorder="1" applyAlignment="1">
      <alignment vertical="center" textRotation="90" wrapText="1"/>
    </xf>
    <xf numFmtId="201" fontId="8" fillId="0" borderId="55" xfId="0" applyNumberFormat="1" applyFont="1" applyBorder="1" applyAlignment="1">
      <alignment vertical="center" textRotation="90" wrapText="1"/>
    </xf>
    <xf numFmtId="209" fontId="8" fillId="0" borderId="79" xfId="48" applyNumberFormat="1" applyFont="1" applyBorder="1" applyAlignment="1">
      <alignment vertical="center" textRotation="90" wrapText="1"/>
    </xf>
    <xf numFmtId="196" fontId="8" fillId="0" borderId="35" xfId="0" applyNumberFormat="1" applyFont="1" applyBorder="1" applyAlignment="1">
      <alignment vertical="center" textRotation="90" wrapText="1"/>
    </xf>
    <xf numFmtId="201" fontId="8" fillId="0" borderId="32" xfId="0" applyNumberFormat="1" applyFont="1" applyBorder="1" applyAlignment="1">
      <alignment vertical="center" textRotation="90" wrapText="1"/>
    </xf>
    <xf numFmtId="0" fontId="88" fillId="6" borderId="16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196" fontId="6" fillId="0" borderId="0" xfId="0" applyNumberFormat="1" applyFont="1" applyBorder="1" applyAlignment="1">
      <alignment vertical="center" textRotation="90" wrapText="1"/>
    </xf>
    <xf numFmtId="209" fontId="6" fillId="0" borderId="0" xfId="48" applyNumberFormat="1" applyFont="1" applyBorder="1" applyAlignment="1">
      <alignment vertical="center" textRotation="90" wrapText="1"/>
    </xf>
    <xf numFmtId="0" fontId="6" fillId="0" borderId="46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196" fontId="6" fillId="0" borderId="63" xfId="0" applyNumberFormat="1" applyFont="1" applyBorder="1" applyAlignment="1">
      <alignment vertical="center" textRotation="90" wrapText="1"/>
    </xf>
    <xf numFmtId="209" fontId="6" fillId="0" borderId="63" xfId="48" applyNumberFormat="1" applyFont="1" applyBorder="1" applyAlignment="1">
      <alignment vertical="center" textRotation="90" wrapText="1"/>
    </xf>
    <xf numFmtId="0" fontId="6" fillId="0" borderId="6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209" fontId="6" fillId="0" borderId="54" xfId="48" applyNumberFormat="1" applyFont="1" applyBorder="1" applyAlignment="1">
      <alignment vertical="center" textRotation="90" wrapText="1"/>
    </xf>
    <xf numFmtId="211" fontId="6" fillId="0" borderId="54" xfId="0" applyNumberFormat="1" applyFont="1" applyBorder="1" applyAlignment="1">
      <alignment vertical="center" textRotation="90" wrapText="1"/>
    </xf>
    <xf numFmtId="0" fontId="6" fillId="0" borderId="54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209" fontId="6" fillId="0" borderId="33" xfId="48" applyNumberFormat="1" applyFont="1" applyBorder="1" applyAlignment="1">
      <alignment vertical="center" textRotation="90" wrapText="1"/>
    </xf>
    <xf numFmtId="211" fontId="6" fillId="0" borderId="33" xfId="0" applyNumberFormat="1" applyFont="1" applyBorder="1" applyAlignment="1">
      <alignment vertical="center" textRotation="90" wrapText="1"/>
    </xf>
    <xf numFmtId="0" fontId="6" fillId="0" borderId="33" xfId="0" applyFont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74" fillId="34" borderId="16" xfId="0" applyFont="1" applyFill="1" applyBorder="1" applyAlignment="1">
      <alignment horizontal="center" vertical="center" wrapText="1"/>
    </xf>
    <xf numFmtId="0" fontId="75" fillId="34" borderId="39" xfId="0" applyFont="1" applyFill="1" applyBorder="1" applyAlignment="1">
      <alignment vertical="center" wrapText="1"/>
    </xf>
    <xf numFmtId="0" fontId="75" fillId="34" borderId="22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right" vertical="center"/>
    </xf>
    <xf numFmtId="0" fontId="8" fillId="34" borderId="82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4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0" fontId="14" fillId="6" borderId="44" xfId="0" applyFont="1" applyFill="1" applyBorder="1" applyAlignment="1">
      <alignment horizontal="right" vertical="center" wrapText="1"/>
    </xf>
    <xf numFmtId="0" fontId="14" fillId="6" borderId="10" xfId="0" applyFont="1" applyFill="1" applyBorder="1" applyAlignment="1">
      <alignment horizontal="right" vertical="center" wrapText="1"/>
    </xf>
    <xf numFmtId="0" fontId="6" fillId="6" borderId="44" xfId="0" applyFont="1" applyFill="1" applyBorder="1" applyAlignment="1">
      <alignment horizontal="right" vertical="center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76" fillId="35" borderId="22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4" borderId="22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center" wrapText="1"/>
    </xf>
    <xf numFmtId="0" fontId="89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6" fillId="0" borderId="34" xfId="0" applyFont="1" applyBorder="1" applyAlignment="1">
      <alignment/>
    </xf>
    <xf numFmtId="0" fontId="76" fillId="35" borderId="39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vertical="center" wrapText="1"/>
    </xf>
    <xf numFmtId="0" fontId="6" fillId="0" borderId="63" xfId="0" applyFont="1" applyBorder="1" applyAlignment="1">
      <alignment/>
    </xf>
    <xf numFmtId="0" fontId="76" fillId="34" borderId="19" xfId="0" applyFont="1" applyFill="1" applyBorder="1" applyAlignment="1">
      <alignment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78" fillId="34" borderId="4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67" fontId="0" fillId="6" borderId="10" xfId="0" applyNumberFormat="1" applyFont="1" applyFill="1" applyBorder="1" applyAlignment="1">
      <alignment horizontal="right"/>
    </xf>
    <xf numFmtId="0" fontId="0" fillId="6" borderId="22" xfId="0" applyFont="1" applyFill="1" applyBorder="1" applyAlignment="1">
      <alignment/>
    </xf>
    <xf numFmtId="10" fontId="0" fillId="6" borderId="22" xfId="0" applyNumberFormat="1" applyFont="1" applyFill="1" applyBorder="1" applyAlignment="1">
      <alignment/>
    </xf>
    <xf numFmtId="0" fontId="78" fillId="6" borderId="22" xfId="0" applyFont="1" applyFill="1" applyBorder="1" applyAlignment="1">
      <alignment/>
    </xf>
    <xf numFmtId="0" fontId="11" fillId="6" borderId="22" xfId="0" applyFont="1" applyFill="1" applyBorder="1" applyAlignment="1">
      <alignment/>
    </xf>
    <xf numFmtId="0" fontId="11" fillId="6" borderId="19" xfId="0" applyFont="1" applyFill="1" applyBorder="1" applyAlignment="1">
      <alignment/>
    </xf>
    <xf numFmtId="218" fontId="0" fillId="6" borderId="10" xfId="0" applyNumberFormat="1" applyFont="1" applyFill="1" applyBorder="1" applyAlignment="1">
      <alignment/>
    </xf>
    <xf numFmtId="218" fontId="86" fillId="6" borderId="10" xfId="0" applyNumberFormat="1" applyFont="1" applyFill="1" applyBorder="1" applyAlignment="1">
      <alignment horizontal="right"/>
    </xf>
    <xf numFmtId="0" fontId="90" fillId="37" borderId="0" xfId="0" applyFont="1" applyFill="1" applyBorder="1" applyAlignment="1">
      <alignment/>
    </xf>
    <xf numFmtId="209" fontId="0" fillId="6" borderId="10" xfId="48" applyNumberFormat="1" applyFont="1" applyFill="1" applyBorder="1" applyAlignment="1">
      <alignment vertical="center"/>
    </xf>
    <xf numFmtId="218" fontId="86" fillId="6" borderId="22" xfId="0" applyNumberFormat="1" applyFont="1" applyFill="1" applyBorder="1" applyAlignment="1">
      <alignment horizontal="right"/>
    </xf>
    <xf numFmtId="0" fontId="91" fillId="0" borderId="59" xfId="0" applyFont="1" applyBorder="1" applyAlignment="1">
      <alignment horizontal="center"/>
    </xf>
    <xf numFmtId="0" fontId="91" fillId="0" borderId="60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10" fontId="0" fillId="34" borderId="33" xfId="0" applyNumberFormat="1" applyFont="1" applyFill="1" applyBorder="1" applyAlignment="1">
      <alignment/>
    </xf>
    <xf numFmtId="0" fontId="77" fillId="34" borderId="33" xfId="0" applyFont="1" applyFill="1" applyBorder="1" applyAlignment="1">
      <alignment/>
    </xf>
    <xf numFmtId="0" fontId="79" fillId="34" borderId="3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3" fontId="11" fillId="6" borderId="22" xfId="0" applyNumberFormat="1" applyFont="1" applyFill="1" applyBorder="1" applyAlignment="1">
      <alignment/>
    </xf>
    <xf numFmtId="218" fontId="0" fillId="6" borderId="22" xfId="0" applyNumberFormat="1" applyFont="1" applyFill="1" applyBorder="1" applyAlignment="1">
      <alignment/>
    </xf>
    <xf numFmtId="0" fontId="11" fillId="34" borderId="59" xfId="0" applyFont="1" applyFill="1" applyBorder="1" applyAlignment="1">
      <alignment vertical="center" wrapText="1"/>
    </xf>
    <xf numFmtId="0" fontId="11" fillId="34" borderId="60" xfId="0" applyFont="1" applyFill="1" applyBorder="1" applyAlignment="1">
      <alignment vertical="center" wrapText="1"/>
    </xf>
    <xf numFmtId="0" fontId="11" fillId="34" borderId="60" xfId="0" applyFont="1" applyFill="1" applyBorder="1" applyAlignment="1">
      <alignment horizontal="center" vertical="center" wrapText="1"/>
    </xf>
    <xf numFmtId="0" fontId="78" fillId="34" borderId="6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/>
    </xf>
    <xf numFmtId="10" fontId="0" fillId="6" borderId="44" xfId="0" applyNumberFormat="1" applyFont="1" applyFill="1" applyBorder="1" applyAlignment="1">
      <alignment/>
    </xf>
    <xf numFmtId="3" fontId="0" fillId="6" borderId="44" xfId="0" applyNumberFormat="1" applyFont="1" applyFill="1" applyBorder="1" applyAlignment="1">
      <alignment horizontal="right"/>
    </xf>
    <xf numFmtId="167" fontId="86" fillId="6" borderId="44" xfId="0" applyNumberFormat="1" applyFont="1" applyFill="1" applyBorder="1" applyAlignment="1">
      <alignment horizontal="right"/>
    </xf>
    <xf numFmtId="2" fontId="79" fillId="6" borderId="44" xfId="0" applyNumberFormat="1" applyFont="1" applyFill="1" applyBorder="1" applyAlignment="1">
      <alignment/>
    </xf>
    <xf numFmtId="218" fontId="0" fillId="6" borderId="44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10" fontId="11" fillId="6" borderId="22" xfId="0" applyNumberFormat="1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77" fillId="34" borderId="54" xfId="0" applyFont="1" applyFill="1" applyBorder="1" applyAlignment="1">
      <alignment/>
    </xf>
    <xf numFmtId="0" fontId="79" fillId="34" borderId="54" xfId="0" applyFont="1" applyFill="1" applyBorder="1" applyAlignment="1">
      <alignment/>
    </xf>
    <xf numFmtId="0" fontId="77" fillId="34" borderId="55" xfId="0" applyFont="1" applyFill="1" applyBorder="1" applyAlignment="1">
      <alignment/>
    </xf>
    <xf numFmtId="209" fontId="0" fillId="6" borderId="22" xfId="48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right"/>
    </xf>
    <xf numFmtId="0" fontId="84" fillId="4" borderId="69" xfId="0" applyFont="1" applyFill="1" applyBorder="1" applyAlignment="1">
      <alignment horizontal="center" vertical="top" wrapText="1" readingOrder="1"/>
    </xf>
    <xf numFmtId="0" fontId="84" fillId="4" borderId="69" xfId="0" applyFont="1" applyFill="1" applyBorder="1" applyAlignment="1">
      <alignment horizontal="center" wrapText="1" readingOrder="1"/>
    </xf>
    <xf numFmtId="0" fontId="11" fillId="38" borderId="14" xfId="0" applyFont="1" applyFill="1" applyBorder="1" applyAlignment="1">
      <alignment/>
    </xf>
    <xf numFmtId="0" fontId="11" fillId="38" borderId="65" xfId="0" applyFont="1" applyFill="1" applyBorder="1" applyAlignment="1">
      <alignment/>
    </xf>
    <xf numFmtId="0" fontId="11" fillId="38" borderId="66" xfId="0" applyFont="1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6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left"/>
    </xf>
    <xf numFmtId="0" fontId="0" fillId="6" borderId="65" xfId="0" applyFill="1" applyBorder="1" applyAlignment="1">
      <alignment horizontal="left"/>
    </xf>
    <xf numFmtId="0" fontId="0" fillId="6" borderId="66" xfId="0" applyFill="1" applyBorder="1" applyAlignment="1">
      <alignment horizontal="left"/>
    </xf>
    <xf numFmtId="0" fontId="11" fillId="4" borderId="43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38" borderId="34" xfId="0" applyFont="1" applyFill="1" applyBorder="1" applyAlignment="1">
      <alignment horizontal="center"/>
    </xf>
    <xf numFmtId="0" fontId="11" fillId="38" borderId="63" xfId="0" applyFont="1" applyFill="1" applyBorder="1" applyAlignment="1">
      <alignment horizontal="center"/>
    </xf>
    <xf numFmtId="0" fontId="11" fillId="38" borderId="64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8" borderId="65" xfId="0" applyFont="1" applyFill="1" applyBorder="1" applyAlignment="1">
      <alignment horizontal="center"/>
    </xf>
    <xf numFmtId="0" fontId="11" fillId="38" borderId="66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0" fillId="6" borderId="31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6" borderId="5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209" fontId="8" fillId="34" borderId="44" xfId="48" applyNumberFormat="1" applyFont="1" applyFill="1" applyBorder="1" applyAlignment="1">
      <alignment horizontal="center" vertical="center" textRotation="90" wrapText="1"/>
    </xf>
    <xf numFmtId="209" fontId="8" fillId="34" borderId="10" xfId="48" applyNumberFormat="1" applyFont="1" applyFill="1" applyBorder="1" applyAlignment="1">
      <alignment horizontal="center" vertical="center" textRotation="90" wrapText="1"/>
    </xf>
    <xf numFmtId="209" fontId="8" fillId="34" borderId="22" xfId="48" applyNumberFormat="1" applyFont="1" applyFill="1" applyBorder="1" applyAlignment="1">
      <alignment horizontal="center" vertical="center" textRotation="90" wrapText="1"/>
    </xf>
    <xf numFmtId="0" fontId="8" fillId="34" borderId="44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justify" vertical="center"/>
    </xf>
    <xf numFmtId="0" fontId="8" fillId="34" borderId="22" xfId="0" applyFont="1" applyFill="1" applyBorder="1" applyAlignment="1">
      <alignment horizontal="justify" vertical="center"/>
    </xf>
    <xf numFmtId="209" fontId="8" fillId="34" borderId="44" xfId="48" applyNumberFormat="1" applyFont="1" applyFill="1" applyBorder="1" applyAlignment="1">
      <alignment horizontal="justify" vertical="center" textRotation="90" wrapText="1"/>
    </xf>
    <xf numFmtId="209" fontId="8" fillId="34" borderId="10" xfId="48" applyNumberFormat="1" applyFont="1" applyFill="1" applyBorder="1" applyAlignment="1">
      <alignment horizontal="justify" vertical="center" textRotation="90" wrapText="1"/>
    </xf>
    <xf numFmtId="209" fontId="8" fillId="34" borderId="22" xfId="48" applyNumberFormat="1" applyFont="1" applyFill="1" applyBorder="1" applyAlignment="1">
      <alignment horizontal="justify" vertical="center" textRotation="90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09" fontId="8" fillId="34" borderId="37" xfId="48" applyNumberFormat="1" applyFont="1" applyFill="1" applyBorder="1" applyAlignment="1">
      <alignment horizontal="center" vertical="center" textRotation="90" wrapText="1"/>
    </xf>
    <xf numFmtId="209" fontId="8" fillId="34" borderId="17" xfId="48" applyNumberFormat="1" applyFont="1" applyFill="1" applyBorder="1" applyAlignment="1">
      <alignment horizontal="center" vertical="center" textRotation="90" wrapText="1"/>
    </xf>
    <xf numFmtId="209" fontId="8" fillId="34" borderId="45" xfId="48" applyNumberFormat="1" applyFont="1" applyFill="1" applyBorder="1" applyAlignment="1">
      <alignment horizontal="center" vertical="center" textRotation="90" wrapText="1"/>
    </xf>
    <xf numFmtId="209" fontId="8" fillId="34" borderId="30" xfId="48" applyNumberFormat="1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6" fillId="34" borderId="43" xfId="0" applyFont="1" applyFill="1" applyBorder="1" applyAlignment="1">
      <alignment horizontal="center" vertical="center" wrapText="1"/>
    </xf>
    <xf numFmtId="0" fontId="76" fillId="34" borderId="4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61" xfId="0" applyFont="1" applyFill="1" applyBorder="1" applyAlignment="1">
      <alignment horizontal="left" vertical="center" wrapText="1"/>
    </xf>
    <xf numFmtId="0" fontId="7" fillId="34" borderId="62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center" wrapText="1"/>
    </xf>
    <xf numFmtId="0" fontId="92" fillId="34" borderId="43" xfId="0" applyFont="1" applyFill="1" applyBorder="1" applyAlignment="1">
      <alignment horizontal="center" vertical="center" wrapText="1"/>
    </xf>
    <xf numFmtId="0" fontId="92" fillId="34" borderId="4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right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 horizontal="justify" vertical="center" wrapText="1"/>
    </xf>
    <xf numFmtId="0" fontId="7" fillId="34" borderId="65" xfId="0" applyFont="1" applyFill="1" applyBorder="1" applyAlignment="1">
      <alignment horizontal="justify" vertical="center" wrapText="1"/>
    </xf>
    <xf numFmtId="0" fontId="7" fillId="34" borderId="66" xfId="0" applyFont="1" applyFill="1" applyBorder="1" applyAlignment="1">
      <alignment horizontal="justify" vertical="center" wrapText="1"/>
    </xf>
    <xf numFmtId="209" fontId="8" fillId="34" borderId="12" xfId="48" applyNumberFormat="1" applyFont="1" applyFill="1" applyBorder="1" applyAlignment="1">
      <alignment horizontal="justify" vertical="center" textRotation="90" wrapText="1"/>
    </xf>
    <xf numFmtId="209" fontId="8" fillId="34" borderId="24" xfId="48" applyNumberFormat="1" applyFont="1" applyFill="1" applyBorder="1" applyAlignment="1">
      <alignment horizontal="justify" vertical="center" textRotation="90" wrapText="1"/>
    </xf>
    <xf numFmtId="209" fontId="8" fillId="34" borderId="34" xfId="48" applyNumberFormat="1" applyFont="1" applyFill="1" applyBorder="1" applyAlignment="1">
      <alignment horizontal="justify" vertical="center" textRotation="90" wrapText="1"/>
    </xf>
    <xf numFmtId="0" fontId="8" fillId="34" borderId="1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209" fontId="8" fillId="34" borderId="12" xfId="48" applyNumberFormat="1" applyFont="1" applyFill="1" applyBorder="1" applyAlignment="1">
      <alignment horizontal="center" vertical="center" textRotation="90" wrapText="1"/>
    </xf>
    <xf numFmtId="209" fontId="8" fillId="34" borderId="24" xfId="48" applyNumberFormat="1" applyFont="1" applyFill="1" applyBorder="1" applyAlignment="1">
      <alignment horizontal="center" vertical="center" textRotation="90" wrapText="1"/>
    </xf>
    <xf numFmtId="209" fontId="8" fillId="34" borderId="34" xfId="48" applyNumberFormat="1" applyFont="1" applyFill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justify" vertical="center" wrapText="1"/>
    </xf>
    <xf numFmtId="0" fontId="8" fillId="34" borderId="20" xfId="0" applyFont="1" applyFill="1" applyBorder="1" applyAlignment="1">
      <alignment horizontal="justify" vertical="center" wrapText="1"/>
    </xf>
    <xf numFmtId="0" fontId="8" fillId="34" borderId="21" xfId="0" applyFont="1" applyFill="1" applyBorder="1" applyAlignment="1">
      <alignment horizontal="justify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76" fillId="34" borderId="41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0" fontId="6" fillId="6" borderId="45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justify" vertical="center"/>
    </xf>
    <xf numFmtId="0" fontId="8" fillId="34" borderId="20" xfId="0" applyFont="1" applyFill="1" applyBorder="1" applyAlignment="1">
      <alignment horizontal="justify" vertical="center"/>
    </xf>
    <xf numFmtId="0" fontId="8" fillId="34" borderId="21" xfId="0" applyFont="1" applyFill="1" applyBorder="1" applyAlignment="1">
      <alignment horizontal="justify" vertical="center"/>
    </xf>
    <xf numFmtId="0" fontId="8" fillId="34" borderId="15" xfId="0" applyFont="1" applyFill="1" applyBorder="1" applyAlignment="1">
      <alignment horizontal="justify" vertical="center" textRotation="90" wrapText="1"/>
    </xf>
    <xf numFmtId="0" fontId="8" fillId="34" borderId="20" xfId="0" applyFont="1" applyFill="1" applyBorder="1" applyAlignment="1">
      <alignment horizontal="justify" vertical="center" textRotation="90" wrapText="1"/>
    </xf>
    <xf numFmtId="0" fontId="8" fillId="34" borderId="21" xfId="0" applyFont="1" applyFill="1" applyBorder="1" applyAlignment="1">
      <alignment horizontal="justify" vertical="center" textRotation="90" wrapText="1"/>
    </xf>
    <xf numFmtId="0" fontId="8" fillId="34" borderId="60" xfId="0" applyFont="1" applyFill="1" applyBorder="1" applyAlignment="1">
      <alignment horizontal="right" vertical="center" wrapText="1"/>
    </xf>
    <xf numFmtId="0" fontId="8" fillId="34" borderId="33" xfId="0" applyFont="1" applyFill="1" applyBorder="1" applyAlignment="1">
      <alignment horizontal="right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209" fontId="6" fillId="34" borderId="36" xfId="48" applyNumberFormat="1" applyFont="1" applyFill="1" applyBorder="1" applyAlignment="1">
      <alignment horizontal="center" vertical="center" textRotation="90" wrapText="1"/>
    </xf>
    <xf numFmtId="209" fontId="6" fillId="34" borderId="17" xfId="48" applyNumberFormat="1" applyFont="1" applyFill="1" applyBorder="1" applyAlignment="1">
      <alignment horizontal="center" vertical="center" textRotation="90" wrapText="1"/>
    </xf>
    <xf numFmtId="209" fontId="6" fillId="34" borderId="45" xfId="48" applyNumberFormat="1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vertical="center" wrapText="1"/>
    </xf>
    <xf numFmtId="0" fontId="6" fillId="34" borderId="15" xfId="48" applyNumberFormat="1" applyFont="1" applyFill="1" applyBorder="1" applyAlignment="1">
      <alignment horizontal="center" vertical="center" wrapText="1"/>
    </xf>
    <xf numFmtId="0" fontId="6" fillId="34" borderId="20" xfId="48" applyNumberFormat="1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61" xfId="0" applyFont="1" applyFill="1" applyBorder="1" applyAlignment="1">
      <alignment horizontal="left" vertical="center" wrapText="1"/>
    </xf>
    <xf numFmtId="0" fontId="14" fillId="34" borderId="62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right" vertical="center" wrapText="1"/>
    </xf>
    <xf numFmtId="209" fontId="6" fillId="34" borderId="84" xfId="48" applyNumberFormat="1" applyFont="1" applyFill="1" applyBorder="1" applyAlignment="1">
      <alignment horizontal="center" vertical="center" textRotation="90" wrapText="1"/>
    </xf>
    <xf numFmtId="209" fontId="6" fillId="34" borderId="53" xfId="48" applyNumberFormat="1" applyFont="1" applyFill="1" applyBorder="1" applyAlignment="1">
      <alignment horizontal="center" vertical="center" textRotation="90" wrapText="1"/>
    </xf>
    <xf numFmtId="209" fontId="6" fillId="34" borderId="79" xfId="48" applyNumberFormat="1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209" fontId="6" fillId="34" borderId="84" xfId="48" applyNumberFormat="1" applyFont="1" applyFill="1" applyBorder="1" applyAlignment="1">
      <alignment horizontal="justify" vertical="center" textRotation="90" wrapText="1"/>
    </xf>
    <xf numFmtId="209" fontId="6" fillId="34" borderId="53" xfId="48" applyNumberFormat="1" applyFont="1" applyFill="1" applyBorder="1" applyAlignment="1">
      <alignment horizontal="justify" vertical="center" textRotation="90" wrapText="1"/>
    </xf>
    <xf numFmtId="209" fontId="6" fillId="34" borderId="79" xfId="48" applyNumberFormat="1" applyFont="1" applyFill="1" applyBorder="1" applyAlignment="1">
      <alignment horizontal="justify" vertical="center" textRotation="90" wrapText="1"/>
    </xf>
    <xf numFmtId="0" fontId="6" fillId="34" borderId="15" xfId="0" applyFont="1" applyFill="1" applyBorder="1" applyAlignment="1">
      <alignment horizontal="justify" vertical="center"/>
    </xf>
    <xf numFmtId="0" fontId="6" fillId="34" borderId="20" xfId="0" applyFont="1" applyFill="1" applyBorder="1" applyAlignment="1">
      <alignment horizontal="justify" vertical="center"/>
    </xf>
    <xf numFmtId="0" fontId="6" fillId="34" borderId="21" xfId="0" applyFont="1" applyFill="1" applyBorder="1" applyAlignment="1">
      <alignment horizontal="justify" vertical="center"/>
    </xf>
    <xf numFmtId="0" fontId="14" fillId="34" borderId="57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4" fillId="34" borderId="85" xfId="0" applyFont="1" applyFill="1" applyBorder="1" applyAlignment="1">
      <alignment horizontal="center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76" fillId="34" borderId="65" xfId="0" applyFont="1" applyFill="1" applyBorder="1" applyAlignment="1">
      <alignment horizontal="center" vertical="center" wrapText="1"/>
    </xf>
    <xf numFmtId="0" fontId="76" fillId="34" borderId="86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42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8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7" fillId="34" borderId="87" xfId="0" applyFont="1" applyFill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  <xf numFmtId="0" fontId="7" fillId="34" borderId="89" xfId="0" applyFont="1" applyFill="1" applyBorder="1" applyAlignment="1">
      <alignment horizontal="center" vertical="center" wrapText="1"/>
    </xf>
    <xf numFmtId="0" fontId="7" fillId="34" borderId="90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209" fontId="8" fillId="34" borderId="33" xfId="48" applyNumberFormat="1" applyFont="1" applyFill="1" applyBorder="1" applyAlignment="1">
      <alignment horizontal="justify" vertical="center" textRotation="90" wrapText="1"/>
    </xf>
    <xf numFmtId="209" fontId="8" fillId="34" borderId="54" xfId="48" applyNumberFormat="1" applyFont="1" applyFill="1" applyBorder="1" applyAlignment="1">
      <alignment horizontal="justify" vertical="center" textRotation="90" wrapText="1"/>
    </xf>
    <xf numFmtId="215" fontId="8" fillId="34" borderId="18" xfId="48" applyNumberFormat="1" applyFont="1" applyFill="1" applyBorder="1" applyAlignment="1">
      <alignment horizontal="justify" vertical="center" textRotation="90" wrapText="1"/>
    </xf>
    <xf numFmtId="215" fontId="8" fillId="34" borderId="16" xfId="48" applyNumberFormat="1" applyFont="1" applyFill="1" applyBorder="1" applyAlignment="1">
      <alignment horizontal="justify" vertical="center" textRotation="90" wrapText="1"/>
    </xf>
    <xf numFmtId="215" fontId="8" fillId="34" borderId="19" xfId="48" applyNumberFormat="1" applyFont="1" applyFill="1" applyBorder="1" applyAlignment="1">
      <alignment horizontal="justify" vertical="center" textRotation="90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9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215" fontId="8" fillId="34" borderId="44" xfId="48" applyNumberFormat="1" applyFont="1" applyFill="1" applyBorder="1" applyAlignment="1">
      <alignment horizontal="justify" vertical="center" textRotation="90" wrapText="1"/>
    </xf>
    <xf numFmtId="215" fontId="8" fillId="34" borderId="10" xfId="48" applyNumberFormat="1" applyFont="1" applyFill="1" applyBorder="1" applyAlignment="1">
      <alignment horizontal="justify" vertical="center" textRotation="90" wrapText="1"/>
    </xf>
    <xf numFmtId="215" fontId="8" fillId="34" borderId="22" xfId="48" applyNumberFormat="1" applyFont="1" applyFill="1" applyBorder="1" applyAlignment="1">
      <alignment horizontal="justify" vertical="center" textRotation="90" wrapText="1"/>
    </xf>
    <xf numFmtId="209" fontId="8" fillId="34" borderId="56" xfId="48" applyNumberFormat="1" applyFont="1" applyFill="1" applyBorder="1" applyAlignment="1">
      <alignment horizontal="justify" vertical="center" textRotation="90" wrapText="1"/>
    </xf>
    <xf numFmtId="209" fontId="8" fillId="34" borderId="31" xfId="48" applyNumberFormat="1" applyFont="1" applyFill="1" applyBorder="1" applyAlignment="1">
      <alignment horizontal="justify" vertical="center" textRotation="90" wrapText="1"/>
    </xf>
    <xf numFmtId="209" fontId="8" fillId="34" borderId="39" xfId="48" applyNumberFormat="1" applyFont="1" applyFill="1" applyBorder="1" applyAlignment="1">
      <alignment horizontal="justify" vertical="center" textRotation="90" wrapText="1"/>
    </xf>
    <xf numFmtId="0" fontId="6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215" fontId="8" fillId="34" borderId="33" xfId="48" applyNumberFormat="1" applyFont="1" applyFill="1" applyBorder="1" applyAlignment="1">
      <alignment horizontal="justify" vertical="center" textRotation="90" wrapText="1"/>
    </xf>
    <xf numFmtId="215" fontId="8" fillId="34" borderId="54" xfId="48" applyNumberFormat="1" applyFont="1" applyFill="1" applyBorder="1" applyAlignment="1">
      <alignment horizontal="justify" vertical="center" textRotation="90" wrapText="1"/>
    </xf>
    <xf numFmtId="196" fontId="8" fillId="34" borderId="44" xfId="48" applyNumberFormat="1" applyFont="1" applyFill="1" applyBorder="1" applyAlignment="1">
      <alignment horizontal="justify" vertical="center" textRotation="90" wrapText="1"/>
    </xf>
    <xf numFmtId="196" fontId="8" fillId="34" borderId="10" xfId="48" applyNumberFormat="1" applyFont="1" applyFill="1" applyBorder="1" applyAlignment="1">
      <alignment horizontal="justify" vertical="center" textRotation="90" wrapText="1"/>
    </xf>
    <xf numFmtId="196" fontId="8" fillId="34" borderId="10" xfId="0" applyNumberFormat="1" applyFont="1" applyFill="1" applyBorder="1" applyAlignment="1">
      <alignment horizontal="justify" vertical="center" textRotation="90" wrapText="1"/>
    </xf>
    <xf numFmtId="196" fontId="8" fillId="34" borderId="22" xfId="0" applyNumberFormat="1" applyFont="1" applyFill="1" applyBorder="1" applyAlignment="1">
      <alignment horizontal="justify" vertical="center" textRotation="90" wrapText="1"/>
    </xf>
    <xf numFmtId="0" fontId="7" fillId="34" borderId="93" xfId="0" applyFont="1" applyFill="1" applyBorder="1" applyAlignment="1">
      <alignment horizontal="center" vertical="center" wrapText="1"/>
    </xf>
    <xf numFmtId="0" fontId="7" fillId="34" borderId="94" xfId="0" applyFont="1" applyFill="1" applyBorder="1" applyAlignment="1">
      <alignment horizontal="center" vertical="center" wrapText="1"/>
    </xf>
    <xf numFmtId="215" fontId="8" fillId="34" borderId="44" xfId="48" applyNumberFormat="1" applyFont="1" applyFill="1" applyBorder="1" applyAlignment="1">
      <alignment horizontal="center" vertical="center" textRotation="90" wrapText="1"/>
    </xf>
    <xf numFmtId="215" fontId="8" fillId="34" borderId="10" xfId="48" applyNumberFormat="1" applyFont="1" applyFill="1" applyBorder="1" applyAlignment="1">
      <alignment horizontal="center" vertical="center" textRotation="90" wrapText="1"/>
    </xf>
    <xf numFmtId="215" fontId="8" fillId="34" borderId="22" xfId="48" applyNumberFormat="1" applyFont="1" applyFill="1" applyBorder="1" applyAlignment="1">
      <alignment horizontal="center" vertical="center" textRotation="90" wrapText="1"/>
    </xf>
    <xf numFmtId="209" fontId="8" fillId="34" borderId="48" xfId="48" applyNumberFormat="1" applyFont="1" applyFill="1" applyBorder="1" applyAlignment="1">
      <alignment horizontal="justify" vertical="center" textRotation="90" wrapText="1"/>
    </xf>
    <xf numFmtId="209" fontId="8" fillId="34" borderId="53" xfId="48" applyNumberFormat="1" applyFont="1" applyFill="1" applyBorder="1" applyAlignment="1">
      <alignment horizontal="justify" vertical="center" textRotation="90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215" fontId="8" fillId="34" borderId="55" xfId="48" applyNumberFormat="1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justify" vertical="center" wrapText="1"/>
    </xf>
    <xf numFmtId="0" fontId="6" fillId="34" borderId="45" xfId="0" applyFont="1" applyFill="1" applyBorder="1" applyAlignment="1">
      <alignment horizontal="justify" vertical="center" wrapText="1"/>
    </xf>
    <xf numFmtId="209" fontId="8" fillId="34" borderId="53" xfId="48" applyNumberFormat="1" applyFont="1" applyFill="1" applyBorder="1" applyAlignment="1">
      <alignment horizontal="center" vertical="center" textRotation="90" wrapText="1"/>
    </xf>
    <xf numFmtId="209" fontId="8" fillId="34" borderId="54" xfId="48" applyNumberFormat="1" applyFont="1" applyFill="1" applyBorder="1" applyAlignment="1">
      <alignment horizontal="center" vertical="center" textRotation="90" wrapText="1"/>
    </xf>
    <xf numFmtId="215" fontId="8" fillId="34" borderId="54" xfId="48" applyNumberFormat="1" applyFont="1" applyFill="1" applyBorder="1" applyAlignment="1">
      <alignment horizontal="center" vertical="center" textRotation="90" wrapText="1"/>
    </xf>
    <xf numFmtId="209" fontId="8" fillId="34" borderId="55" xfId="48" applyNumberFormat="1" applyFont="1" applyFill="1" applyBorder="1" applyAlignment="1">
      <alignment horizontal="center" vertical="center" textRotation="90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209" fontId="6" fillId="0" borderId="60" xfId="48" applyNumberFormat="1" applyFont="1" applyBorder="1" applyAlignment="1">
      <alignment horizontal="center" vertical="center" textRotation="90" wrapText="1"/>
    </xf>
    <xf numFmtId="209" fontId="6" fillId="0" borderId="54" xfId="48" applyNumberFormat="1" applyFont="1" applyBorder="1" applyAlignment="1">
      <alignment horizontal="center" vertical="center" textRotation="90" wrapText="1"/>
    </xf>
    <xf numFmtId="211" fontId="6" fillId="0" borderId="60" xfId="0" applyNumberFormat="1" applyFont="1" applyBorder="1" applyAlignment="1">
      <alignment horizontal="center" vertical="center" textRotation="90" wrapText="1"/>
    </xf>
    <xf numFmtId="211" fontId="6" fillId="0" borderId="54" xfId="0" applyNumberFormat="1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196" fontId="6" fillId="0" borderId="61" xfId="0" applyNumberFormat="1" applyFont="1" applyBorder="1" applyAlignment="1">
      <alignment horizontal="center" vertical="center" textRotation="90" wrapText="1"/>
    </xf>
    <xf numFmtId="196" fontId="6" fillId="0" borderId="0" xfId="0" applyNumberFormat="1" applyFont="1" applyBorder="1" applyAlignment="1">
      <alignment horizontal="center" vertical="center" textRotation="90" wrapText="1"/>
    </xf>
    <xf numFmtId="0" fontId="8" fillId="34" borderId="37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>
      <alignment horizontal="justify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209" fontId="6" fillId="0" borderId="61" xfId="48" applyNumberFormat="1" applyFont="1" applyBorder="1" applyAlignment="1">
      <alignment horizontal="center" vertical="center" textRotation="90" wrapText="1"/>
    </xf>
    <xf numFmtId="209" fontId="6" fillId="0" borderId="0" xfId="48" applyNumberFormat="1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209" fontId="8" fillId="0" borderId="15" xfId="48" applyNumberFormat="1" applyFont="1" applyBorder="1" applyAlignment="1">
      <alignment horizontal="center" vertical="center" textRotation="90" wrapText="1"/>
    </xf>
    <xf numFmtId="209" fontId="8" fillId="0" borderId="20" xfId="48" applyNumberFormat="1" applyFont="1" applyBorder="1" applyAlignment="1">
      <alignment horizontal="center" vertical="center" textRotation="90" wrapText="1"/>
    </xf>
    <xf numFmtId="0" fontId="8" fillId="0" borderId="8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209" fontId="8" fillId="0" borderId="84" xfId="48" applyNumberFormat="1" applyFont="1" applyBorder="1" applyAlignment="1">
      <alignment horizontal="center" vertical="center" textRotation="90" wrapText="1"/>
    </xf>
    <xf numFmtId="209" fontId="8" fillId="0" borderId="53" xfId="48" applyNumberFormat="1" applyFont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justify" vertical="center" wrapText="1"/>
    </xf>
    <xf numFmtId="0" fontId="8" fillId="34" borderId="31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209" fontId="8" fillId="0" borderId="98" xfId="48" applyNumberFormat="1" applyFont="1" applyBorder="1" applyAlignment="1">
      <alignment horizontal="center" vertical="center" textRotation="90" wrapText="1"/>
    </xf>
    <xf numFmtId="209" fontId="8" fillId="0" borderId="54" xfId="48" applyNumberFormat="1" applyFont="1" applyBorder="1" applyAlignment="1">
      <alignment horizontal="center" vertical="center" textRotation="90" wrapText="1"/>
    </xf>
    <xf numFmtId="209" fontId="8" fillId="0" borderId="35" xfId="48" applyNumberFormat="1" applyFont="1" applyBorder="1" applyAlignment="1">
      <alignment horizontal="center" vertical="center" textRotation="90" wrapText="1"/>
    </xf>
    <xf numFmtId="0" fontId="9" fillId="6" borderId="15" xfId="0" applyFont="1" applyFill="1" applyBorder="1" applyAlignment="1">
      <alignment horizontal="justify" vertical="center" wrapText="1"/>
    </xf>
    <xf numFmtId="0" fontId="9" fillId="6" borderId="20" xfId="0" applyFont="1" applyFill="1" applyBorder="1" applyAlignment="1">
      <alignment horizontal="justify" vertical="center" wrapText="1"/>
    </xf>
    <xf numFmtId="0" fontId="9" fillId="6" borderId="21" xfId="0" applyFont="1" applyFill="1" applyBorder="1" applyAlignment="1">
      <alignment horizontal="justify" vertical="center" wrapText="1"/>
    </xf>
    <xf numFmtId="0" fontId="8" fillId="6" borderId="85" xfId="0" applyFont="1" applyFill="1" applyBorder="1" applyAlignment="1">
      <alignment horizontal="justify" vertical="center" wrapText="1"/>
    </xf>
    <xf numFmtId="0" fontId="8" fillId="6" borderId="24" xfId="0" applyFont="1" applyFill="1" applyBorder="1" applyAlignment="1">
      <alignment horizontal="justify" vertical="center" wrapText="1"/>
    </xf>
    <xf numFmtId="0" fontId="8" fillId="6" borderId="34" xfId="0" applyFont="1" applyFill="1" applyBorder="1" applyAlignment="1">
      <alignment horizontal="justify" vertical="center" wrapText="1"/>
    </xf>
    <xf numFmtId="0" fontId="8" fillId="34" borderId="16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left" vertical="center" wrapText="1"/>
    </xf>
    <xf numFmtId="0" fontId="8" fillId="0" borderId="98" xfId="0" applyFont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11" fontId="8" fillId="0" borderId="98" xfId="0" applyNumberFormat="1" applyFont="1" applyBorder="1" applyAlignment="1">
      <alignment horizontal="center" vertical="center" textRotation="90" wrapText="1"/>
    </xf>
    <xf numFmtId="211" fontId="8" fillId="0" borderId="54" xfId="0" applyNumberFormat="1" applyFont="1" applyBorder="1" applyAlignment="1">
      <alignment horizontal="center" vertical="center" textRotation="90" wrapText="1"/>
    </xf>
    <xf numFmtId="206" fontId="6" fillId="4" borderId="18" xfId="0" applyNumberFormat="1" applyFont="1" applyFill="1" applyBorder="1" applyAlignment="1">
      <alignment horizontal="center" vertical="center" wrapText="1"/>
    </xf>
    <xf numFmtId="206" fontId="6" fillId="4" borderId="16" xfId="0" applyNumberFormat="1" applyFont="1" applyFill="1" applyBorder="1" applyAlignment="1">
      <alignment horizontal="center" vertical="center" wrapText="1"/>
    </xf>
    <xf numFmtId="206" fontId="6" fillId="4" borderId="23" xfId="0" applyNumberFormat="1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left" vertical="center" wrapText="1"/>
    </xf>
    <xf numFmtId="0" fontId="8" fillId="4" borderId="57" xfId="0" applyFont="1" applyFill="1" applyBorder="1" applyAlignment="1">
      <alignment horizontal="left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52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34" borderId="31" xfId="0" applyNumberFormat="1" applyFont="1" applyFill="1" applyBorder="1" applyAlignment="1">
      <alignment horizontal="right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30" xfId="0" applyNumberFormat="1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8" fillId="34" borderId="51" xfId="0" applyFont="1" applyFill="1" applyBorder="1" applyAlignment="1">
      <alignment horizontal="left" vertical="center" wrapText="1"/>
    </xf>
    <xf numFmtId="209" fontId="8" fillId="0" borderId="84" xfId="48" applyNumberFormat="1" applyFont="1" applyBorder="1" applyAlignment="1">
      <alignment horizontal="justify" vertical="center" textRotation="90" wrapText="1"/>
    </xf>
    <xf numFmtId="209" fontId="8" fillId="0" borderId="53" xfId="48" applyNumberFormat="1" applyFont="1" applyBorder="1" applyAlignment="1">
      <alignment horizontal="justify" vertical="center" textRotation="90" wrapText="1"/>
    </xf>
    <xf numFmtId="196" fontId="8" fillId="0" borderId="84" xfId="0" applyNumberFormat="1" applyFont="1" applyBorder="1" applyAlignment="1">
      <alignment horizontal="center" vertical="center" textRotation="90" wrapText="1"/>
    </xf>
    <xf numFmtId="196" fontId="8" fillId="0" borderId="53" xfId="0" applyNumberFormat="1" applyFont="1" applyBorder="1" applyAlignment="1">
      <alignment horizontal="center" vertical="center" textRotation="90" wrapText="1"/>
    </xf>
    <xf numFmtId="0" fontId="8" fillId="0" borderId="82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211" fontId="8" fillId="0" borderId="35" xfId="0" applyNumberFormat="1" applyFont="1" applyBorder="1" applyAlignment="1">
      <alignment horizontal="center" vertical="center" textRotation="90" wrapText="1"/>
    </xf>
    <xf numFmtId="196" fontId="8" fillId="0" borderId="60" xfId="0" applyNumberFormat="1" applyFont="1" applyBorder="1" applyAlignment="1">
      <alignment horizontal="center" vertical="center" textRotation="90" wrapText="1"/>
    </xf>
    <xf numFmtId="196" fontId="8" fillId="0" borderId="54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7" fillId="0" borderId="8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201" fontId="8" fillId="0" borderId="82" xfId="0" applyNumberFormat="1" applyFont="1" applyBorder="1" applyAlignment="1">
      <alignment horizontal="center" vertical="center" textRotation="90" wrapText="1"/>
    </xf>
    <xf numFmtId="201" fontId="8" fillId="0" borderId="55" xfId="0" applyNumberFormat="1" applyFont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98" xfId="0" applyFont="1" applyFill="1" applyBorder="1" applyAlignment="1">
      <alignment horizontal="left" vertical="center" wrapText="1"/>
    </xf>
    <xf numFmtId="0" fontId="6" fillId="6" borderId="54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209" fontId="8" fillId="0" borderId="98" xfId="0" applyNumberFormat="1" applyFont="1" applyFill="1" applyBorder="1" applyAlignment="1">
      <alignment horizontal="center" vertical="center" textRotation="90" wrapText="1"/>
    </xf>
    <xf numFmtId="209" fontId="8" fillId="0" borderId="54" xfId="0" applyNumberFormat="1" applyFont="1" applyFill="1" applyBorder="1" applyAlignment="1">
      <alignment horizontal="center" vertical="center" textRotation="90" wrapText="1"/>
    </xf>
    <xf numFmtId="209" fontId="8" fillId="0" borderId="35" xfId="0" applyNumberFormat="1" applyFont="1" applyFill="1" applyBorder="1" applyAlignment="1">
      <alignment horizontal="center" vertical="center" textRotation="90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200" fontId="7" fillId="0" borderId="15" xfId="0" applyNumberFormat="1" applyFont="1" applyBorder="1" applyAlignment="1">
      <alignment horizontal="center" vertical="center" wrapText="1"/>
    </xf>
    <xf numFmtId="200" fontId="7" fillId="0" borderId="20" xfId="0" applyNumberFormat="1" applyFont="1" applyBorder="1" applyAlignment="1">
      <alignment horizontal="center" vertical="center" wrapText="1"/>
    </xf>
    <xf numFmtId="200" fontId="7" fillId="0" borderId="21" xfId="0" applyNumberFormat="1" applyFont="1" applyBorder="1" applyAlignment="1">
      <alignment horizontal="center" vertical="center" wrapText="1"/>
    </xf>
    <xf numFmtId="200" fontId="7" fillId="0" borderId="12" xfId="0" applyNumberFormat="1" applyFont="1" applyBorder="1" applyAlignment="1">
      <alignment horizontal="center" vertical="center" wrapText="1"/>
    </xf>
    <xf numFmtId="200" fontId="7" fillId="0" borderId="24" xfId="0" applyNumberFormat="1" applyFont="1" applyBorder="1" applyAlignment="1">
      <alignment horizontal="center" vertical="center" wrapText="1"/>
    </xf>
    <xf numFmtId="200" fontId="7" fillId="0" borderId="34" xfId="0" applyNumberFormat="1" applyFont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54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75" xfId="0" applyFont="1" applyFill="1" applyBorder="1" applyAlignment="1">
      <alignment horizontal="left" vertical="center" wrapText="1"/>
    </xf>
    <xf numFmtId="0" fontId="8" fillId="4" borderId="96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201" fontId="8" fillId="0" borderId="98" xfId="48" applyNumberFormat="1" applyFont="1" applyBorder="1" applyAlignment="1">
      <alignment horizontal="center" vertical="center" textRotation="90" wrapText="1"/>
    </xf>
    <xf numFmtId="201" fontId="8" fillId="0" borderId="54" xfId="48" applyNumberFormat="1" applyFont="1" applyBorder="1" applyAlignment="1">
      <alignment horizontal="center" vertical="center" textRotation="90" wrapText="1"/>
    </xf>
    <xf numFmtId="201" fontId="8" fillId="0" borderId="35" xfId="48" applyNumberFormat="1" applyFont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6" fillId="34" borderId="34" xfId="0" applyFont="1" applyFill="1" applyBorder="1" applyAlignment="1">
      <alignment horizontal="center" vertical="center" wrapText="1"/>
    </xf>
    <xf numFmtId="0" fontId="76" fillId="34" borderId="63" xfId="0" applyFont="1" applyFill="1" applyBorder="1" applyAlignment="1">
      <alignment horizontal="center" vertical="center" wrapText="1"/>
    </xf>
    <xf numFmtId="0" fontId="76" fillId="34" borderId="6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65" xfId="0" applyFont="1" applyFill="1" applyBorder="1" applyAlignment="1">
      <alignment horizontal="center" vertical="center" wrapText="1"/>
    </xf>
    <xf numFmtId="0" fontId="76" fillId="0" borderId="6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textRotation="90" wrapText="1"/>
    </xf>
    <xf numFmtId="0" fontId="7" fillId="0" borderId="21" xfId="0" applyFont="1" applyFill="1" applyBorder="1" applyAlignment="1">
      <alignment horizontal="left" vertical="center" textRotation="90" wrapText="1"/>
    </xf>
    <xf numFmtId="212" fontId="6" fillId="0" borderId="98" xfId="0" applyNumberFormat="1" applyFont="1" applyFill="1" applyBorder="1" applyAlignment="1">
      <alignment horizontal="center" vertical="center" textRotation="90" wrapText="1"/>
    </xf>
    <xf numFmtId="212" fontId="6" fillId="0" borderId="54" xfId="0" applyNumberFormat="1" applyFont="1" applyFill="1" applyBorder="1" applyAlignment="1">
      <alignment horizontal="center" vertical="center" textRotation="90" wrapText="1"/>
    </xf>
    <xf numFmtId="212" fontId="6" fillId="0" borderId="33" xfId="0" applyNumberFormat="1" applyFont="1" applyFill="1" applyBorder="1" applyAlignment="1">
      <alignment horizontal="center" vertical="center" textRotation="90" wrapText="1"/>
    </xf>
    <xf numFmtId="196" fontId="6" fillId="0" borderId="98" xfId="0" applyNumberFormat="1" applyFont="1" applyFill="1" applyBorder="1" applyAlignment="1">
      <alignment horizontal="center" vertical="center" textRotation="90" wrapText="1"/>
    </xf>
    <xf numFmtId="196" fontId="6" fillId="0" borderId="54" xfId="0" applyNumberFormat="1" applyFont="1" applyFill="1" applyBorder="1" applyAlignment="1">
      <alignment horizontal="center" vertical="center" textRotation="90" wrapText="1"/>
    </xf>
    <xf numFmtId="196" fontId="6" fillId="0" borderId="33" xfId="0" applyNumberFormat="1" applyFont="1" applyFill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18"/>
  <sheetViews>
    <sheetView tabSelected="1" view="pageBreakPreview" zoomScale="90" zoomScaleSheetLayoutView="90" workbookViewId="0" topLeftCell="B52">
      <selection activeCell="D68" sqref="D68"/>
    </sheetView>
  </sheetViews>
  <sheetFormatPr defaultColWidth="11.421875" defaultRowHeight="12.75"/>
  <cols>
    <col min="1" max="1" width="16.28125" style="0" customWidth="1"/>
    <col min="2" max="2" width="3.7109375" style="0" customWidth="1"/>
    <col min="3" max="3" width="36.28125" style="0" customWidth="1"/>
    <col min="4" max="4" width="11.28125" style="0" customWidth="1"/>
    <col min="5" max="5" width="11.140625" style="0" customWidth="1"/>
    <col min="6" max="6" width="14.28125" style="0" customWidth="1"/>
    <col min="7" max="7" width="15.421875" style="0" customWidth="1"/>
    <col min="8" max="8" width="2.28125" style="0" customWidth="1"/>
    <col min="11" max="11" width="56.7109375" style="0" customWidth="1"/>
  </cols>
  <sheetData>
    <row r="2" ht="13.5" thickBot="1"/>
    <row r="3" spans="2:8" ht="13.5" thickBot="1">
      <c r="B3" s="844"/>
      <c r="C3" s="845"/>
      <c r="D3" s="845"/>
      <c r="E3" s="845"/>
      <c r="F3" s="845"/>
      <c r="G3" s="845"/>
      <c r="H3" s="846"/>
    </row>
    <row r="4" spans="2:8" ht="18.75" customHeight="1" thickBot="1">
      <c r="B4" s="477"/>
      <c r="C4" s="856" t="s">
        <v>282</v>
      </c>
      <c r="D4" s="857"/>
      <c r="E4" s="857"/>
      <c r="F4" s="857"/>
      <c r="G4" s="858"/>
      <c r="H4" s="478"/>
    </row>
    <row r="5" spans="2:8" ht="18.75" customHeight="1" thickBot="1">
      <c r="B5" s="477"/>
      <c r="C5" s="859" t="s">
        <v>283</v>
      </c>
      <c r="D5" s="860"/>
      <c r="E5" s="860"/>
      <c r="F5" s="860"/>
      <c r="G5" s="861"/>
      <c r="H5" s="478"/>
    </row>
    <row r="6" spans="2:8" ht="17.25" customHeight="1" thickBot="1">
      <c r="B6" s="477"/>
      <c r="C6" s="841" t="s">
        <v>1008</v>
      </c>
      <c r="D6" s="842"/>
      <c r="E6" s="842"/>
      <c r="F6" s="842"/>
      <c r="G6" s="843"/>
      <c r="H6" s="478"/>
    </row>
    <row r="7" spans="2:8" ht="25.5" customHeight="1" thickBot="1">
      <c r="B7" s="477"/>
      <c r="C7" s="856" t="s">
        <v>1001</v>
      </c>
      <c r="D7" s="857"/>
      <c r="E7" s="857"/>
      <c r="F7" s="857"/>
      <c r="G7" s="858"/>
      <c r="H7" s="478"/>
    </row>
    <row r="8" spans="2:8" ht="21.75" customHeight="1" thickBot="1">
      <c r="B8" s="477"/>
      <c r="C8" s="847" t="s">
        <v>860</v>
      </c>
      <c r="D8" s="848"/>
      <c r="E8" s="848"/>
      <c r="F8" s="848"/>
      <c r="G8" s="849"/>
      <c r="H8" s="478"/>
    </row>
    <row r="9" spans="2:8" ht="23.25" thickBot="1">
      <c r="B9" s="477"/>
      <c r="C9" s="839" t="s">
        <v>859</v>
      </c>
      <c r="D9" s="840" t="s">
        <v>1004</v>
      </c>
      <c r="E9" s="840" t="s">
        <v>1002</v>
      </c>
      <c r="F9" s="840" t="s">
        <v>1005</v>
      </c>
      <c r="G9" s="840" t="s">
        <v>1006</v>
      </c>
      <c r="H9" s="478"/>
    </row>
    <row r="10" spans="2:8" ht="25.5">
      <c r="B10" s="477"/>
      <c r="C10" s="465" t="s">
        <v>557</v>
      </c>
      <c r="D10" s="479">
        <v>87.5</v>
      </c>
      <c r="E10" s="479">
        <v>90.9</v>
      </c>
      <c r="F10" s="479">
        <v>99.4</v>
      </c>
      <c r="G10" s="480">
        <v>78.4</v>
      </c>
      <c r="H10" s="478"/>
    </row>
    <row r="11" spans="2:8" ht="38.25">
      <c r="B11" s="477"/>
      <c r="C11" s="468" t="s">
        <v>559</v>
      </c>
      <c r="D11" s="481">
        <v>82.2</v>
      </c>
      <c r="E11" s="481">
        <v>87</v>
      </c>
      <c r="F11" s="481">
        <v>97.2</v>
      </c>
      <c r="G11" s="482">
        <v>90</v>
      </c>
      <c r="H11" s="478"/>
    </row>
    <row r="12" spans="2:8" ht="25.5">
      <c r="B12" s="477"/>
      <c r="C12" s="468" t="s">
        <v>626</v>
      </c>
      <c r="D12" s="481">
        <v>73.8</v>
      </c>
      <c r="E12" s="481">
        <v>77.9</v>
      </c>
      <c r="F12" s="481">
        <v>0</v>
      </c>
      <c r="G12" s="482">
        <v>52.5</v>
      </c>
      <c r="H12" s="478"/>
    </row>
    <row r="13" spans="2:8" ht="13.5" thickBot="1">
      <c r="B13" s="477"/>
      <c r="C13" s="470" t="s">
        <v>12</v>
      </c>
      <c r="D13" s="491">
        <v>81.2</v>
      </c>
      <c r="E13" s="491">
        <v>86.3</v>
      </c>
      <c r="F13" s="491">
        <v>65.3</v>
      </c>
      <c r="G13" s="492">
        <v>63.1</v>
      </c>
      <c r="H13" s="478"/>
    </row>
    <row r="14" spans="2:8" ht="13.5" thickBot="1">
      <c r="B14" s="477"/>
      <c r="C14" s="464"/>
      <c r="D14" s="464"/>
      <c r="E14" s="464"/>
      <c r="F14" s="464"/>
      <c r="G14" s="464"/>
      <c r="H14" s="478"/>
    </row>
    <row r="15" spans="2:8" ht="13.5" thickBot="1">
      <c r="B15" s="477"/>
      <c r="C15" s="847" t="s">
        <v>861</v>
      </c>
      <c r="D15" s="848"/>
      <c r="E15" s="848"/>
      <c r="F15" s="848"/>
      <c r="G15" s="849"/>
      <c r="H15" s="478"/>
    </row>
    <row r="16" spans="2:8" ht="39" customHeight="1">
      <c r="B16" s="477"/>
      <c r="C16" s="839" t="s">
        <v>859</v>
      </c>
      <c r="D16" s="840" t="s">
        <v>1004</v>
      </c>
      <c r="E16" s="840" t="s">
        <v>1002</v>
      </c>
      <c r="F16" s="840" t="s">
        <v>1005</v>
      </c>
      <c r="G16" s="840" t="s">
        <v>1006</v>
      </c>
      <c r="H16" s="478"/>
    </row>
    <row r="17" spans="2:8" ht="12.75">
      <c r="B17" s="477"/>
      <c r="C17" s="461" t="s">
        <v>565</v>
      </c>
      <c r="D17" s="481">
        <v>97.3</v>
      </c>
      <c r="E17" s="481">
        <v>99.3</v>
      </c>
      <c r="F17" s="481">
        <v>100</v>
      </c>
      <c r="G17" s="481">
        <v>52.1</v>
      </c>
      <c r="H17" s="478"/>
    </row>
    <row r="18" spans="2:8" ht="12.75">
      <c r="B18" s="477"/>
      <c r="C18" s="461" t="s">
        <v>567</v>
      </c>
      <c r="D18" s="481">
        <v>98.2</v>
      </c>
      <c r="E18" s="481">
        <v>81.5</v>
      </c>
      <c r="F18" s="481">
        <v>100</v>
      </c>
      <c r="G18" s="481">
        <v>100</v>
      </c>
      <c r="H18" s="478"/>
    </row>
    <row r="19" spans="2:8" ht="12.75">
      <c r="B19" s="477"/>
      <c r="C19" s="462" t="s">
        <v>12</v>
      </c>
      <c r="D19" s="490">
        <v>97.8</v>
      </c>
      <c r="E19" s="490">
        <v>89.84</v>
      </c>
      <c r="F19" s="490">
        <v>99.9</v>
      </c>
      <c r="G19" s="490">
        <v>89.6</v>
      </c>
      <c r="H19" s="478"/>
    </row>
    <row r="20" spans="2:8" ht="13.5" thickBot="1">
      <c r="B20" s="477"/>
      <c r="C20" s="463"/>
      <c r="D20" s="464"/>
      <c r="E20" s="464"/>
      <c r="F20" s="464"/>
      <c r="G20" s="464"/>
      <c r="H20" s="478"/>
    </row>
    <row r="21" spans="2:8" ht="13.5" thickBot="1">
      <c r="B21" s="477"/>
      <c r="C21" s="847" t="s">
        <v>862</v>
      </c>
      <c r="D21" s="848"/>
      <c r="E21" s="848"/>
      <c r="F21" s="848"/>
      <c r="G21" s="849"/>
      <c r="H21" s="478"/>
    </row>
    <row r="22" spans="2:8" ht="33" customHeight="1">
      <c r="B22" s="477"/>
      <c r="C22" s="839" t="s">
        <v>859</v>
      </c>
      <c r="D22" s="840" t="s">
        <v>1004</v>
      </c>
      <c r="E22" s="840" t="s">
        <v>1002</v>
      </c>
      <c r="F22" s="840" t="s">
        <v>1005</v>
      </c>
      <c r="G22" s="840" t="s">
        <v>1006</v>
      </c>
      <c r="H22" s="478"/>
    </row>
    <row r="23" spans="2:8" ht="12.75">
      <c r="B23" s="477"/>
      <c r="C23" s="461" t="s">
        <v>572</v>
      </c>
      <c r="D23" s="481">
        <v>96</v>
      </c>
      <c r="E23" s="481">
        <v>87.9</v>
      </c>
      <c r="F23" s="481">
        <v>99.9</v>
      </c>
      <c r="G23" s="481">
        <v>75.9</v>
      </c>
      <c r="H23" s="478"/>
    </row>
    <row r="24" spans="2:8" ht="12.75">
      <c r="B24" s="477"/>
      <c r="C24" s="461" t="s">
        <v>574</v>
      </c>
      <c r="D24" s="481">
        <v>100</v>
      </c>
      <c r="E24" s="481">
        <v>98.5</v>
      </c>
      <c r="F24" s="481">
        <v>100</v>
      </c>
      <c r="G24" s="481">
        <v>37.9</v>
      </c>
      <c r="H24" s="478"/>
    </row>
    <row r="25" spans="2:8" ht="25.5">
      <c r="B25" s="477"/>
      <c r="C25" s="461" t="s">
        <v>576</v>
      </c>
      <c r="D25" s="481">
        <v>100</v>
      </c>
      <c r="E25" s="98">
        <v>87.5</v>
      </c>
      <c r="F25" s="481">
        <v>100</v>
      </c>
      <c r="G25" s="98">
        <v>100</v>
      </c>
      <c r="H25" s="478"/>
    </row>
    <row r="26" spans="2:8" ht="25.5">
      <c r="B26" s="477"/>
      <c r="C26" s="461" t="s">
        <v>580</v>
      </c>
      <c r="D26" s="481">
        <v>100</v>
      </c>
      <c r="E26" s="98">
        <v>100</v>
      </c>
      <c r="F26" s="481">
        <v>100</v>
      </c>
      <c r="G26" s="98">
        <v>79</v>
      </c>
      <c r="H26" s="478"/>
    </row>
    <row r="27" spans="2:8" ht="12.75">
      <c r="B27" s="477"/>
      <c r="C27" s="462" t="s">
        <v>12</v>
      </c>
      <c r="D27" s="471">
        <v>98.4</v>
      </c>
      <c r="E27" s="471">
        <v>91.5</v>
      </c>
      <c r="F27" s="471">
        <v>99.9</v>
      </c>
      <c r="G27" s="471">
        <v>78.3</v>
      </c>
      <c r="H27" s="478"/>
    </row>
    <row r="28" spans="2:8" ht="13.5" thickBot="1">
      <c r="B28" s="477"/>
      <c r="C28" s="464"/>
      <c r="D28" s="464"/>
      <c r="E28" s="464"/>
      <c r="F28" s="464"/>
      <c r="G28" s="464"/>
      <c r="H28" s="478"/>
    </row>
    <row r="29" spans="2:8" ht="13.5" thickBot="1">
      <c r="B29" s="477"/>
      <c r="C29" s="853" t="s">
        <v>863</v>
      </c>
      <c r="D29" s="854"/>
      <c r="E29" s="854"/>
      <c r="F29" s="854"/>
      <c r="G29" s="855"/>
      <c r="H29" s="478"/>
    </row>
    <row r="30" spans="2:8" ht="23.25" thickBot="1">
      <c r="B30" s="477"/>
      <c r="C30" s="839" t="s">
        <v>859</v>
      </c>
      <c r="D30" s="840" t="s">
        <v>1004</v>
      </c>
      <c r="E30" s="840" t="s">
        <v>1002</v>
      </c>
      <c r="F30" s="840" t="s">
        <v>1005</v>
      </c>
      <c r="G30" s="840" t="s">
        <v>1006</v>
      </c>
      <c r="H30" s="478"/>
    </row>
    <row r="31" spans="2:8" ht="27.75" customHeight="1">
      <c r="B31" s="477"/>
      <c r="C31" s="465" t="s">
        <v>585</v>
      </c>
      <c r="D31" s="466">
        <v>100</v>
      </c>
      <c r="E31" s="466">
        <v>98.6</v>
      </c>
      <c r="F31" s="466">
        <v>100</v>
      </c>
      <c r="G31" s="467">
        <v>81.6</v>
      </c>
      <c r="H31" s="478"/>
    </row>
    <row r="32" spans="2:8" ht="26.25" thickBot="1">
      <c r="B32" s="477"/>
      <c r="C32" s="468" t="s">
        <v>589</v>
      </c>
      <c r="D32" s="98">
        <v>87</v>
      </c>
      <c r="E32" s="98">
        <v>95.1</v>
      </c>
      <c r="F32" s="98">
        <v>100</v>
      </c>
      <c r="G32" s="469">
        <v>83</v>
      </c>
      <c r="H32" s="478"/>
    </row>
    <row r="33" spans="2:8" ht="13.5" thickBot="1">
      <c r="B33" s="477"/>
      <c r="C33" s="472" t="s">
        <v>12</v>
      </c>
      <c r="D33" s="518">
        <v>89</v>
      </c>
      <c r="E33" s="518">
        <v>96.6</v>
      </c>
      <c r="F33" s="491">
        <v>99.9</v>
      </c>
      <c r="G33" s="492">
        <v>82.3</v>
      </c>
      <c r="H33" s="478"/>
    </row>
    <row r="34" spans="2:8" ht="13.5" thickBot="1">
      <c r="B34" s="477"/>
      <c r="C34" s="464"/>
      <c r="D34" s="464"/>
      <c r="E34" s="464"/>
      <c r="F34" s="464"/>
      <c r="G34" s="464"/>
      <c r="H34" s="478"/>
    </row>
    <row r="35" spans="2:8" ht="13.5" thickBot="1">
      <c r="B35" s="477"/>
      <c r="C35" s="853" t="s">
        <v>866</v>
      </c>
      <c r="D35" s="854"/>
      <c r="E35" s="854"/>
      <c r="F35" s="854"/>
      <c r="G35" s="855"/>
      <c r="H35" s="478"/>
    </row>
    <row r="36" spans="2:8" ht="23.25" thickBot="1">
      <c r="B36" s="477"/>
      <c r="C36" s="839" t="s">
        <v>859</v>
      </c>
      <c r="D36" s="840" t="s">
        <v>1004</v>
      </c>
      <c r="E36" s="840" t="s">
        <v>1002</v>
      </c>
      <c r="F36" s="840" t="s">
        <v>1005</v>
      </c>
      <c r="G36" s="840" t="s">
        <v>1006</v>
      </c>
      <c r="H36" s="478"/>
    </row>
    <row r="37" spans="2:8" ht="13.5" thickBot="1">
      <c r="B37" s="477"/>
      <c r="C37" s="465" t="s">
        <v>594</v>
      </c>
      <c r="D37" s="466">
        <v>100</v>
      </c>
      <c r="E37" s="466">
        <v>95.8</v>
      </c>
      <c r="F37" s="466">
        <v>934</v>
      </c>
      <c r="G37" s="467">
        <v>89.8</v>
      </c>
      <c r="H37" s="478"/>
    </row>
    <row r="38" spans="2:8" ht="13.5" thickBot="1">
      <c r="B38" s="477"/>
      <c r="C38" s="468" t="s">
        <v>631</v>
      </c>
      <c r="D38" s="466">
        <v>100</v>
      </c>
      <c r="E38" s="98">
        <v>100</v>
      </c>
      <c r="F38" s="98">
        <v>100</v>
      </c>
      <c r="G38" s="469">
        <v>67.6</v>
      </c>
      <c r="H38" s="478"/>
    </row>
    <row r="39" spans="2:8" ht="13.5" thickBot="1">
      <c r="B39" s="477"/>
      <c r="C39" s="468" t="s">
        <v>599</v>
      </c>
      <c r="D39" s="466">
        <v>100</v>
      </c>
      <c r="E39" s="98">
        <v>100</v>
      </c>
      <c r="F39" s="98">
        <v>87</v>
      </c>
      <c r="G39" s="469">
        <v>82.2</v>
      </c>
      <c r="H39" s="478"/>
    </row>
    <row r="40" spans="2:8" ht="13.5" thickBot="1">
      <c r="B40" s="477"/>
      <c r="C40" s="468" t="s">
        <v>601</v>
      </c>
      <c r="D40" s="466">
        <v>100</v>
      </c>
      <c r="E40" s="98">
        <v>100</v>
      </c>
      <c r="F40" s="98">
        <v>100</v>
      </c>
      <c r="G40" s="469">
        <v>87.7</v>
      </c>
      <c r="H40" s="478"/>
    </row>
    <row r="41" spans="2:8" ht="12.75">
      <c r="B41" s="477"/>
      <c r="C41" s="468" t="s">
        <v>603</v>
      </c>
      <c r="D41" s="466">
        <v>93.3</v>
      </c>
      <c r="E41" s="98">
        <v>91.7</v>
      </c>
      <c r="F41" s="98">
        <v>92.3</v>
      </c>
      <c r="G41" s="469">
        <v>98.1</v>
      </c>
      <c r="H41" s="478"/>
    </row>
    <row r="42" spans="2:8" ht="12.75">
      <c r="B42" s="477"/>
      <c r="C42" s="468" t="s">
        <v>605</v>
      </c>
      <c r="D42" s="98">
        <v>100</v>
      </c>
      <c r="E42" s="98">
        <v>100</v>
      </c>
      <c r="F42" s="98">
        <v>76.6</v>
      </c>
      <c r="G42" s="469">
        <v>80.2</v>
      </c>
      <c r="H42" s="478"/>
    </row>
    <row r="43" spans="2:8" ht="13.5" thickBot="1">
      <c r="B43" s="477"/>
      <c r="C43" s="472" t="s">
        <v>12</v>
      </c>
      <c r="D43" s="491">
        <v>99</v>
      </c>
      <c r="E43" s="491">
        <v>78</v>
      </c>
      <c r="F43" s="491">
        <v>92.2</v>
      </c>
      <c r="G43" s="492">
        <v>86.2</v>
      </c>
      <c r="H43" s="478"/>
    </row>
    <row r="44" spans="2:8" ht="13.5" thickBot="1">
      <c r="B44" s="477"/>
      <c r="C44" s="464"/>
      <c r="D44" s="464"/>
      <c r="E44" s="464"/>
      <c r="F44" s="464"/>
      <c r="G44" s="464"/>
      <c r="H44" s="478"/>
    </row>
    <row r="45" spans="2:8" ht="13.5" thickBot="1">
      <c r="B45" s="477"/>
      <c r="C45" s="847" t="s">
        <v>865</v>
      </c>
      <c r="D45" s="848"/>
      <c r="E45" s="848"/>
      <c r="F45" s="848"/>
      <c r="G45" s="849"/>
      <c r="H45" s="478"/>
    </row>
    <row r="46" spans="2:8" ht="23.25" thickBot="1">
      <c r="B46" s="477"/>
      <c r="C46" s="839" t="s">
        <v>859</v>
      </c>
      <c r="D46" s="840" t="s">
        <v>1004</v>
      </c>
      <c r="E46" s="840" t="s">
        <v>1002</v>
      </c>
      <c r="F46" s="840" t="s">
        <v>1005</v>
      </c>
      <c r="G46" s="840" t="s">
        <v>1006</v>
      </c>
      <c r="H46" s="478"/>
    </row>
    <row r="47" spans="2:8" ht="25.5">
      <c r="B47" s="477"/>
      <c r="C47" s="465" t="s">
        <v>609</v>
      </c>
      <c r="D47" s="466">
        <v>85.6</v>
      </c>
      <c r="E47" s="466">
        <v>98.9</v>
      </c>
      <c r="F47" s="466">
        <v>58.8</v>
      </c>
      <c r="G47" s="467">
        <v>63</v>
      </c>
      <c r="H47" s="478"/>
    </row>
    <row r="48" spans="2:10" ht="27">
      <c r="B48" s="477"/>
      <c r="C48" s="468" t="s">
        <v>611</v>
      </c>
      <c r="D48" s="98">
        <v>89</v>
      </c>
      <c r="E48" s="98">
        <v>92.2</v>
      </c>
      <c r="F48" s="98" t="s">
        <v>1003</v>
      </c>
      <c r="G48" s="469">
        <v>92</v>
      </c>
      <c r="H48" s="478"/>
      <c r="J48" s="459"/>
    </row>
    <row r="49" spans="2:10" ht="20.25" thickBot="1">
      <c r="B49" s="477"/>
      <c r="C49" s="472" t="s">
        <v>12</v>
      </c>
      <c r="D49" s="491">
        <v>87.2</v>
      </c>
      <c r="E49" s="491">
        <v>80</v>
      </c>
      <c r="F49" s="491">
        <v>80.8</v>
      </c>
      <c r="G49" s="492">
        <v>77.6</v>
      </c>
      <c r="H49" s="478"/>
      <c r="J49" s="460"/>
    </row>
    <row r="50" spans="2:8" ht="13.5" thickBot="1">
      <c r="B50" s="477"/>
      <c r="C50" s="1"/>
      <c r="D50" s="1"/>
      <c r="E50" s="1"/>
      <c r="F50" s="1"/>
      <c r="G50" s="1"/>
      <c r="H50" s="478"/>
    </row>
    <row r="51" spans="2:8" ht="15" customHeight="1" thickBot="1">
      <c r="B51" s="477"/>
      <c r="C51" s="847" t="s">
        <v>864</v>
      </c>
      <c r="D51" s="848"/>
      <c r="E51" s="848"/>
      <c r="F51" s="848"/>
      <c r="G51" s="849"/>
      <c r="H51" s="478"/>
    </row>
    <row r="52" spans="2:8" ht="23.25" thickBot="1">
      <c r="B52" s="477"/>
      <c r="C52" s="839" t="s">
        <v>859</v>
      </c>
      <c r="D52" s="840" t="s">
        <v>1004</v>
      </c>
      <c r="E52" s="840" t="s">
        <v>1002</v>
      </c>
      <c r="F52" s="840" t="s">
        <v>1005</v>
      </c>
      <c r="G52" s="840" t="s">
        <v>1006</v>
      </c>
      <c r="H52" s="478"/>
    </row>
    <row r="53" spans="2:8" ht="26.25" thickBot="1">
      <c r="B53" s="477"/>
      <c r="C53" s="465" t="s">
        <v>433</v>
      </c>
      <c r="D53" s="466">
        <v>100</v>
      </c>
      <c r="E53" s="466">
        <v>100</v>
      </c>
      <c r="F53" s="466">
        <v>96.2</v>
      </c>
      <c r="G53" s="467">
        <v>99.71</v>
      </c>
      <c r="H53" s="478"/>
    </row>
    <row r="54" spans="2:8" ht="13.5" thickBot="1">
      <c r="B54" s="477"/>
      <c r="C54" s="473" t="s">
        <v>12</v>
      </c>
      <c r="D54" s="518">
        <v>100</v>
      </c>
      <c r="E54" s="518">
        <v>100</v>
      </c>
      <c r="F54" s="518">
        <v>96.2</v>
      </c>
      <c r="G54" s="558">
        <v>99.71</v>
      </c>
      <c r="H54" s="478"/>
    </row>
    <row r="55" spans="2:8" ht="13.5" thickBot="1">
      <c r="B55" s="474"/>
      <c r="C55" s="475"/>
      <c r="D55" s="475"/>
      <c r="E55" s="475"/>
      <c r="F55" s="475"/>
      <c r="G55" s="475"/>
      <c r="H55" s="476"/>
    </row>
    <row r="56" spans="2:8" ht="13.5" thickBot="1">
      <c r="B56" s="850" t="s">
        <v>867</v>
      </c>
      <c r="C56" s="851"/>
      <c r="D56" s="851"/>
      <c r="E56" s="851"/>
      <c r="F56" s="851"/>
      <c r="G56" s="851"/>
      <c r="H56" s="852"/>
    </row>
    <row r="57" spans="2:8" ht="13.5" thickBot="1">
      <c r="B57" s="1"/>
      <c r="C57" s="1"/>
      <c r="D57" s="1"/>
      <c r="E57" s="1"/>
      <c r="F57" s="1"/>
      <c r="G57" s="1"/>
      <c r="H57" s="1"/>
    </row>
    <row r="58" spans="2:8" ht="13.5" thickBot="1">
      <c r="B58" s="844"/>
      <c r="C58" s="845"/>
      <c r="D58" s="845"/>
      <c r="E58" s="845"/>
      <c r="F58" s="845"/>
      <c r="G58" s="845"/>
      <c r="H58" s="846"/>
    </row>
    <row r="59" spans="2:8" ht="15" customHeight="1" thickBot="1">
      <c r="B59" s="477"/>
      <c r="C59" s="856" t="s">
        <v>282</v>
      </c>
      <c r="D59" s="857"/>
      <c r="E59" s="857"/>
      <c r="F59" s="857"/>
      <c r="G59" s="858"/>
      <c r="H59" s="478"/>
    </row>
    <row r="60" spans="2:8" ht="15" customHeight="1" thickBot="1">
      <c r="B60" s="477"/>
      <c r="C60" s="859" t="s">
        <v>283</v>
      </c>
      <c r="D60" s="860"/>
      <c r="E60" s="860"/>
      <c r="F60" s="860"/>
      <c r="G60" s="861"/>
      <c r="H60" s="478"/>
    </row>
    <row r="61" spans="2:8" ht="15.75" customHeight="1" thickBot="1">
      <c r="B61" s="477"/>
      <c r="C61" s="859" t="s">
        <v>1007</v>
      </c>
      <c r="D61" s="860"/>
      <c r="E61" s="860"/>
      <c r="F61" s="860"/>
      <c r="G61" s="861"/>
      <c r="H61" s="478"/>
    </row>
    <row r="62" spans="2:8" ht="15" customHeight="1" thickBot="1">
      <c r="B62" s="477"/>
      <c r="C62" s="856" t="s">
        <v>1001</v>
      </c>
      <c r="D62" s="857"/>
      <c r="E62" s="857"/>
      <c r="F62" s="857"/>
      <c r="G62" s="858"/>
      <c r="H62" s="478"/>
    </row>
    <row r="63" spans="2:8" ht="34.5" customHeight="1" thickBot="1">
      <c r="B63" s="477"/>
      <c r="C63" s="840" t="s">
        <v>965</v>
      </c>
      <c r="D63" s="840" t="s">
        <v>1004</v>
      </c>
      <c r="E63" s="840" t="s">
        <v>1002</v>
      </c>
      <c r="F63" s="840" t="s">
        <v>1005</v>
      </c>
      <c r="G63" s="840" t="s">
        <v>1006</v>
      </c>
      <c r="H63" s="478"/>
    </row>
    <row r="64" spans="2:8" ht="25.5">
      <c r="B64" s="477"/>
      <c r="C64" s="562" t="s">
        <v>553</v>
      </c>
      <c r="D64" s="563">
        <v>81.2</v>
      </c>
      <c r="E64" s="563">
        <v>86.25</v>
      </c>
      <c r="F64" s="563">
        <v>65.53</v>
      </c>
      <c r="G64" s="564">
        <v>63.13</v>
      </c>
      <c r="H64" s="478"/>
    </row>
    <row r="65" spans="2:8" ht="25.5">
      <c r="B65" s="477"/>
      <c r="C65" s="565" t="s">
        <v>561</v>
      </c>
      <c r="D65" s="566">
        <v>97.8</v>
      </c>
      <c r="E65" s="566">
        <v>89.84</v>
      </c>
      <c r="F65" s="566">
        <v>99.99</v>
      </c>
      <c r="G65" s="567">
        <v>89.6</v>
      </c>
      <c r="H65" s="478"/>
    </row>
    <row r="66" spans="2:8" ht="25.5">
      <c r="B66" s="477"/>
      <c r="C66" s="565" t="s">
        <v>568</v>
      </c>
      <c r="D66" s="106">
        <v>98.42</v>
      </c>
      <c r="E66" s="106">
        <v>91.46</v>
      </c>
      <c r="F66" s="106">
        <v>99.99</v>
      </c>
      <c r="G66" s="105">
        <v>78.25</v>
      </c>
      <c r="H66" s="478"/>
    </row>
    <row r="67" spans="2:8" ht="25.5">
      <c r="B67" s="477"/>
      <c r="C67" s="565" t="s">
        <v>581</v>
      </c>
      <c r="D67" s="838">
        <v>89.06</v>
      </c>
      <c r="E67" s="106">
        <v>96.64</v>
      </c>
      <c r="F67" s="106">
        <v>99.96</v>
      </c>
      <c r="G67" s="105">
        <v>82.32</v>
      </c>
      <c r="H67" s="478"/>
    </row>
    <row r="68" spans="2:8" ht="12.75">
      <c r="B68" s="477"/>
      <c r="C68" s="568" t="s">
        <v>966</v>
      </c>
      <c r="D68" s="106">
        <v>99.02</v>
      </c>
      <c r="E68" s="106">
        <v>96.45</v>
      </c>
      <c r="F68" s="106">
        <v>92.15</v>
      </c>
      <c r="G68" s="105">
        <v>86.16</v>
      </c>
      <c r="H68" s="478"/>
    </row>
    <row r="69" spans="2:8" ht="12.75">
      <c r="B69" s="477"/>
      <c r="C69" s="568" t="s">
        <v>606</v>
      </c>
      <c r="D69" s="106">
        <v>87.16</v>
      </c>
      <c r="E69" s="106">
        <v>96.7</v>
      </c>
      <c r="F69" s="106">
        <v>80.82</v>
      </c>
      <c r="G69" s="105">
        <v>77.58</v>
      </c>
      <c r="H69" s="478"/>
    </row>
    <row r="70" spans="2:8" ht="25.5">
      <c r="B70" s="477"/>
      <c r="C70" s="569" t="s">
        <v>614</v>
      </c>
      <c r="D70" s="106">
        <v>100</v>
      </c>
      <c r="E70" s="106">
        <v>100</v>
      </c>
      <c r="F70" s="106">
        <v>96.21</v>
      </c>
      <c r="G70" s="105">
        <v>99.71</v>
      </c>
      <c r="H70" s="478"/>
    </row>
    <row r="71" spans="2:8" ht="15.75" customHeight="1" thickBot="1">
      <c r="B71" s="477"/>
      <c r="C71" s="472" t="s">
        <v>967</v>
      </c>
      <c r="D71" s="570">
        <f>SUM(D64:D70)/7</f>
        <v>93.23714285714286</v>
      </c>
      <c r="E71" s="570">
        <f>SUM(E64:E70)/7</f>
        <v>93.9057142857143</v>
      </c>
      <c r="F71" s="570">
        <f>SUM(F64:F70)/7</f>
        <v>90.66428571428573</v>
      </c>
      <c r="G71" s="571">
        <f>SUM(G64:G70)/7</f>
        <v>82.39285714285712</v>
      </c>
      <c r="H71" s="478"/>
    </row>
    <row r="72" spans="2:8" ht="13.5" thickBot="1">
      <c r="B72" s="477"/>
      <c r="C72" s="560"/>
      <c r="D72" s="561"/>
      <c r="E72" s="561"/>
      <c r="F72" s="561"/>
      <c r="G72" s="561"/>
      <c r="H72" s="478"/>
    </row>
    <row r="73" spans="2:8" ht="13.5" thickBot="1">
      <c r="B73" s="850" t="s">
        <v>867</v>
      </c>
      <c r="C73" s="851"/>
      <c r="D73" s="851"/>
      <c r="E73" s="851"/>
      <c r="F73" s="851"/>
      <c r="G73" s="851"/>
      <c r="H73" s="852"/>
    </row>
    <row r="77" spans="9:16" ht="20.25" thickBot="1">
      <c r="I77" s="862" t="s">
        <v>858</v>
      </c>
      <c r="J77" s="863"/>
      <c r="K77" s="863"/>
      <c r="L77" s="863"/>
      <c r="M77" s="863"/>
      <c r="N77" s="863"/>
      <c r="P77" s="84" t="s">
        <v>964</v>
      </c>
    </row>
    <row r="78" spans="9:20" ht="24">
      <c r="I78" s="435" t="s">
        <v>544</v>
      </c>
      <c r="J78" s="436" t="s">
        <v>545</v>
      </c>
      <c r="K78" s="435" t="s">
        <v>546</v>
      </c>
      <c r="L78" s="437" t="s">
        <v>547</v>
      </c>
      <c r="M78" s="437" t="s">
        <v>795</v>
      </c>
      <c r="N78" s="437" t="s">
        <v>548</v>
      </c>
      <c r="P78" s="498" t="s">
        <v>869</v>
      </c>
      <c r="Q78" s="498" t="s">
        <v>870</v>
      </c>
      <c r="R78" s="499" t="s">
        <v>871</v>
      </c>
      <c r="S78" s="499" t="s">
        <v>872</v>
      </c>
      <c r="T78" s="499" t="s">
        <v>873</v>
      </c>
    </row>
    <row r="79" spans="9:20" ht="15" thickBot="1">
      <c r="I79" s="438"/>
      <c r="J79" s="439" t="s">
        <v>549</v>
      </c>
      <c r="K79" s="440" t="s">
        <v>550</v>
      </c>
      <c r="L79" s="441"/>
      <c r="M79" s="441"/>
      <c r="N79" s="441" t="s">
        <v>551</v>
      </c>
      <c r="P79" s="500"/>
      <c r="Q79" s="501" t="s">
        <v>874</v>
      </c>
      <c r="R79" s="502" t="s">
        <v>875</v>
      </c>
      <c r="S79" s="502" t="s">
        <v>876</v>
      </c>
      <c r="T79" s="502" t="s">
        <v>877</v>
      </c>
    </row>
    <row r="80" spans="9:20" ht="35.25">
      <c r="I80" s="442"/>
      <c r="J80" s="443" t="s">
        <v>552</v>
      </c>
      <c r="K80" s="444" t="s">
        <v>796</v>
      </c>
      <c r="L80" s="445" t="s">
        <v>797</v>
      </c>
      <c r="M80" s="445" t="s">
        <v>798</v>
      </c>
      <c r="N80" s="446">
        <v>0.63</v>
      </c>
      <c r="P80" s="503" t="s">
        <v>876</v>
      </c>
      <c r="Q80" s="503" t="s">
        <v>878</v>
      </c>
      <c r="R80" s="504" t="s">
        <v>879</v>
      </c>
      <c r="S80" s="504" t="s">
        <v>880</v>
      </c>
      <c r="T80" s="505">
        <v>0.95</v>
      </c>
    </row>
    <row r="81" spans="9:20" ht="69">
      <c r="I81" s="447">
        <v>100</v>
      </c>
      <c r="J81" s="443" t="s">
        <v>553</v>
      </c>
      <c r="K81" s="444" t="s">
        <v>799</v>
      </c>
      <c r="L81" s="445" t="s">
        <v>800</v>
      </c>
      <c r="M81" s="445">
        <v>0</v>
      </c>
      <c r="N81" s="446">
        <v>0</v>
      </c>
      <c r="P81" s="506">
        <v>100</v>
      </c>
      <c r="Q81" s="507" t="s">
        <v>881</v>
      </c>
      <c r="R81" s="508" t="s">
        <v>882</v>
      </c>
      <c r="S81" s="508" t="s">
        <v>882</v>
      </c>
      <c r="T81" s="509">
        <v>1</v>
      </c>
    </row>
    <row r="82" spans="9:20" ht="46.5">
      <c r="I82" s="448" t="s">
        <v>554</v>
      </c>
      <c r="J82" s="443" t="s">
        <v>555</v>
      </c>
      <c r="K82" s="444" t="s">
        <v>799</v>
      </c>
      <c r="L82" s="445" t="s">
        <v>800</v>
      </c>
      <c r="M82" s="445">
        <v>0</v>
      </c>
      <c r="N82" s="446">
        <v>0</v>
      </c>
      <c r="P82" s="510" t="s">
        <v>883</v>
      </c>
      <c r="Q82" s="507" t="s">
        <v>884</v>
      </c>
      <c r="R82" s="508" t="s">
        <v>882</v>
      </c>
      <c r="S82" s="508" t="s">
        <v>882</v>
      </c>
      <c r="T82" s="509">
        <v>1</v>
      </c>
    </row>
    <row r="83" spans="9:20" ht="68.25">
      <c r="I83" s="449" t="s">
        <v>556</v>
      </c>
      <c r="J83" s="450" t="s">
        <v>557</v>
      </c>
      <c r="K83" s="451" t="s">
        <v>629</v>
      </c>
      <c r="L83" s="452" t="s">
        <v>800</v>
      </c>
      <c r="M83" s="452">
        <v>0</v>
      </c>
      <c r="N83" s="453">
        <v>0</v>
      </c>
      <c r="P83" s="511" t="s">
        <v>556</v>
      </c>
      <c r="Q83" s="512" t="s">
        <v>557</v>
      </c>
      <c r="R83" s="513" t="s">
        <v>625</v>
      </c>
      <c r="S83" s="513" t="s">
        <v>625</v>
      </c>
      <c r="T83" s="514">
        <v>1</v>
      </c>
    </row>
    <row r="84" spans="9:20" ht="79.5">
      <c r="I84" s="449" t="s">
        <v>558</v>
      </c>
      <c r="J84" s="450" t="s">
        <v>559</v>
      </c>
      <c r="K84" s="451" t="s">
        <v>801</v>
      </c>
      <c r="L84" s="452">
        <v>0</v>
      </c>
      <c r="M84" s="452">
        <v>0</v>
      </c>
      <c r="N84" s="453">
        <v>0</v>
      </c>
      <c r="P84" s="511" t="s">
        <v>558</v>
      </c>
      <c r="Q84" s="512" t="s">
        <v>559</v>
      </c>
      <c r="R84" s="513">
        <v>0</v>
      </c>
      <c r="S84" s="513">
        <v>0</v>
      </c>
      <c r="T84" s="514">
        <v>0</v>
      </c>
    </row>
    <row r="85" spans="9:20" ht="68.25">
      <c r="I85" s="449" t="s">
        <v>560</v>
      </c>
      <c r="J85" s="450" t="s">
        <v>626</v>
      </c>
      <c r="K85" s="451" t="s">
        <v>634</v>
      </c>
      <c r="L85" s="452">
        <v>0</v>
      </c>
      <c r="M85" s="452">
        <v>0</v>
      </c>
      <c r="N85" s="453">
        <v>0</v>
      </c>
      <c r="P85" s="511" t="s">
        <v>560</v>
      </c>
      <c r="Q85" s="512" t="s">
        <v>885</v>
      </c>
      <c r="R85" s="513">
        <v>0</v>
      </c>
      <c r="S85" s="513">
        <v>0</v>
      </c>
      <c r="T85" s="514">
        <v>0</v>
      </c>
    </row>
    <row r="86" spans="9:20" ht="57.75">
      <c r="I86" s="447">
        <v>101</v>
      </c>
      <c r="J86" s="443" t="s">
        <v>561</v>
      </c>
      <c r="K86" s="444" t="s">
        <v>802</v>
      </c>
      <c r="L86" s="445" t="s">
        <v>803</v>
      </c>
      <c r="M86" s="445" t="s">
        <v>804</v>
      </c>
      <c r="N86" s="446">
        <v>0.86</v>
      </c>
      <c r="P86" s="506">
        <v>101</v>
      </c>
      <c r="Q86" s="507" t="s">
        <v>886</v>
      </c>
      <c r="R86" s="508" t="s">
        <v>887</v>
      </c>
      <c r="S86" s="508" t="s">
        <v>888</v>
      </c>
      <c r="T86" s="509">
        <v>1</v>
      </c>
    </row>
    <row r="87" spans="9:20" ht="69">
      <c r="I87" s="448" t="s">
        <v>562</v>
      </c>
      <c r="J87" s="443" t="s">
        <v>563</v>
      </c>
      <c r="K87" s="444" t="s">
        <v>802</v>
      </c>
      <c r="L87" s="445" t="s">
        <v>803</v>
      </c>
      <c r="M87" s="445" t="s">
        <v>804</v>
      </c>
      <c r="N87" s="446">
        <v>0.86</v>
      </c>
      <c r="P87" s="510" t="s">
        <v>889</v>
      </c>
      <c r="Q87" s="507" t="s">
        <v>890</v>
      </c>
      <c r="R87" s="508" t="s">
        <v>887</v>
      </c>
      <c r="S87" s="508" t="s">
        <v>888</v>
      </c>
      <c r="T87" s="509">
        <v>1</v>
      </c>
    </row>
    <row r="88" spans="9:20" ht="23.25">
      <c r="I88" s="449" t="s">
        <v>564</v>
      </c>
      <c r="J88" s="450" t="s">
        <v>565</v>
      </c>
      <c r="K88" s="451" t="s">
        <v>627</v>
      </c>
      <c r="L88" s="452">
        <v>0</v>
      </c>
      <c r="M88" s="452">
        <v>0</v>
      </c>
      <c r="N88" s="453">
        <v>0</v>
      </c>
      <c r="P88" s="511" t="s">
        <v>564</v>
      </c>
      <c r="Q88" s="512" t="s">
        <v>565</v>
      </c>
      <c r="R88" s="513">
        <v>0</v>
      </c>
      <c r="S88" s="513">
        <v>0</v>
      </c>
      <c r="T88" s="514">
        <v>0</v>
      </c>
    </row>
    <row r="89" spans="9:20" ht="34.5">
      <c r="I89" s="449" t="s">
        <v>566</v>
      </c>
      <c r="J89" s="450" t="s">
        <v>567</v>
      </c>
      <c r="K89" s="451" t="s">
        <v>805</v>
      </c>
      <c r="L89" s="452" t="s">
        <v>803</v>
      </c>
      <c r="M89" s="452" t="s">
        <v>804</v>
      </c>
      <c r="N89" s="453">
        <v>0.88</v>
      </c>
      <c r="P89" s="511" t="s">
        <v>566</v>
      </c>
      <c r="Q89" s="512" t="s">
        <v>567</v>
      </c>
      <c r="R89" s="513" t="s">
        <v>891</v>
      </c>
      <c r="S89" s="513" t="s">
        <v>892</v>
      </c>
      <c r="T89" s="514">
        <v>1</v>
      </c>
    </row>
    <row r="90" spans="9:20" ht="69">
      <c r="I90" s="447">
        <v>102</v>
      </c>
      <c r="J90" s="443" t="s">
        <v>568</v>
      </c>
      <c r="K90" s="444" t="s">
        <v>806</v>
      </c>
      <c r="L90" s="445" t="s">
        <v>807</v>
      </c>
      <c r="M90" s="445" t="s">
        <v>808</v>
      </c>
      <c r="N90" s="446">
        <v>0.64</v>
      </c>
      <c r="P90" s="506">
        <v>102</v>
      </c>
      <c r="Q90" s="507" t="s">
        <v>893</v>
      </c>
      <c r="R90" s="508" t="s">
        <v>894</v>
      </c>
      <c r="S90" s="508" t="s">
        <v>895</v>
      </c>
      <c r="T90" s="509">
        <v>0.5</v>
      </c>
    </row>
    <row r="91" spans="9:20" ht="46.5">
      <c r="I91" s="448" t="s">
        <v>569</v>
      </c>
      <c r="J91" s="443" t="s">
        <v>570</v>
      </c>
      <c r="K91" s="444" t="s">
        <v>809</v>
      </c>
      <c r="L91" s="445" t="s">
        <v>810</v>
      </c>
      <c r="M91" s="445" t="s">
        <v>811</v>
      </c>
      <c r="N91" s="446">
        <v>0.71</v>
      </c>
      <c r="P91" s="510" t="s">
        <v>896</v>
      </c>
      <c r="Q91" s="507" t="s">
        <v>897</v>
      </c>
      <c r="R91" s="508" t="s">
        <v>898</v>
      </c>
      <c r="S91" s="508" t="s">
        <v>899</v>
      </c>
      <c r="T91" s="509">
        <v>0.34</v>
      </c>
    </row>
    <row r="92" spans="9:20" ht="34.5">
      <c r="I92" s="449" t="s">
        <v>571</v>
      </c>
      <c r="J92" s="450" t="s">
        <v>572</v>
      </c>
      <c r="K92" s="451" t="s">
        <v>812</v>
      </c>
      <c r="L92" s="452" t="s">
        <v>813</v>
      </c>
      <c r="M92" s="452" t="s">
        <v>814</v>
      </c>
      <c r="N92" s="453">
        <v>0.18</v>
      </c>
      <c r="P92" s="511" t="s">
        <v>571</v>
      </c>
      <c r="Q92" s="512" t="s">
        <v>572</v>
      </c>
      <c r="R92" s="513" t="s">
        <v>900</v>
      </c>
      <c r="S92" s="513" t="s">
        <v>901</v>
      </c>
      <c r="T92" s="514">
        <v>0.03</v>
      </c>
    </row>
    <row r="93" spans="9:20" ht="34.5">
      <c r="I93" s="449" t="s">
        <v>573</v>
      </c>
      <c r="J93" s="450" t="s">
        <v>574</v>
      </c>
      <c r="K93" s="451" t="s">
        <v>624</v>
      </c>
      <c r="L93" s="452" t="s">
        <v>815</v>
      </c>
      <c r="M93" s="452">
        <v>0</v>
      </c>
      <c r="N93" s="453">
        <v>0.48</v>
      </c>
      <c r="P93" s="511" t="s">
        <v>573</v>
      </c>
      <c r="Q93" s="512" t="s">
        <v>574</v>
      </c>
      <c r="R93" s="513" t="s">
        <v>902</v>
      </c>
      <c r="S93" s="513" t="s">
        <v>903</v>
      </c>
      <c r="T93" s="514">
        <v>1</v>
      </c>
    </row>
    <row r="94" spans="9:20" ht="45.75">
      <c r="I94" s="449" t="s">
        <v>575</v>
      </c>
      <c r="J94" s="450" t="s">
        <v>576</v>
      </c>
      <c r="K94" s="451" t="s">
        <v>801</v>
      </c>
      <c r="L94" s="452" t="s">
        <v>816</v>
      </c>
      <c r="M94" s="452" t="s">
        <v>817</v>
      </c>
      <c r="N94" s="453">
        <v>0.99</v>
      </c>
      <c r="P94" s="511" t="s">
        <v>575</v>
      </c>
      <c r="Q94" s="512" t="s">
        <v>576</v>
      </c>
      <c r="R94" s="513" t="s">
        <v>904</v>
      </c>
      <c r="S94" s="513" t="s">
        <v>905</v>
      </c>
      <c r="T94" s="514">
        <v>1</v>
      </c>
    </row>
    <row r="95" spans="9:20" ht="46.5">
      <c r="I95" s="448" t="s">
        <v>577</v>
      </c>
      <c r="J95" s="443" t="s">
        <v>578</v>
      </c>
      <c r="K95" s="444" t="s">
        <v>818</v>
      </c>
      <c r="L95" s="445" t="s">
        <v>819</v>
      </c>
      <c r="M95" s="445" t="s">
        <v>820</v>
      </c>
      <c r="N95" s="446">
        <v>0.55</v>
      </c>
      <c r="P95" s="510" t="s">
        <v>906</v>
      </c>
      <c r="Q95" s="507" t="s">
        <v>907</v>
      </c>
      <c r="R95" s="508" t="s">
        <v>908</v>
      </c>
      <c r="S95" s="508" t="s">
        <v>909</v>
      </c>
      <c r="T95" s="509">
        <v>1</v>
      </c>
    </row>
    <row r="96" spans="9:20" ht="45.75">
      <c r="I96" s="449" t="s">
        <v>579</v>
      </c>
      <c r="J96" s="450" t="s">
        <v>580</v>
      </c>
      <c r="K96" s="451" t="s">
        <v>818</v>
      </c>
      <c r="L96" s="452" t="s">
        <v>819</v>
      </c>
      <c r="M96" s="452" t="s">
        <v>820</v>
      </c>
      <c r="N96" s="453">
        <v>0.55</v>
      </c>
      <c r="P96" s="511" t="s">
        <v>579</v>
      </c>
      <c r="Q96" s="512" t="s">
        <v>580</v>
      </c>
      <c r="R96" s="513" t="s">
        <v>910</v>
      </c>
      <c r="S96" s="513" t="s">
        <v>911</v>
      </c>
      <c r="T96" s="514">
        <v>1</v>
      </c>
    </row>
    <row r="97" spans="9:20" ht="57.75">
      <c r="I97" s="447">
        <v>103</v>
      </c>
      <c r="J97" s="443" t="s">
        <v>581</v>
      </c>
      <c r="K97" s="444" t="s">
        <v>632</v>
      </c>
      <c r="L97" s="445" t="s">
        <v>821</v>
      </c>
      <c r="M97" s="445" t="s">
        <v>822</v>
      </c>
      <c r="N97" s="446">
        <v>0.47</v>
      </c>
      <c r="P97" s="506">
        <v>103</v>
      </c>
      <c r="Q97" s="507" t="s">
        <v>912</v>
      </c>
      <c r="R97" s="508" t="s">
        <v>913</v>
      </c>
      <c r="S97" s="508" t="s">
        <v>914</v>
      </c>
      <c r="T97" s="509">
        <v>1</v>
      </c>
    </row>
    <row r="98" spans="9:20" ht="24">
      <c r="I98" s="448" t="s">
        <v>582</v>
      </c>
      <c r="J98" s="443" t="s">
        <v>583</v>
      </c>
      <c r="K98" s="444" t="s">
        <v>627</v>
      </c>
      <c r="L98" s="445" t="s">
        <v>823</v>
      </c>
      <c r="M98" s="445" t="s">
        <v>824</v>
      </c>
      <c r="N98" s="446">
        <v>0.64</v>
      </c>
      <c r="P98" s="510" t="s">
        <v>915</v>
      </c>
      <c r="Q98" s="507" t="s">
        <v>916</v>
      </c>
      <c r="R98" s="508" t="s">
        <v>917</v>
      </c>
      <c r="S98" s="508" t="s">
        <v>918</v>
      </c>
      <c r="T98" s="509">
        <v>1</v>
      </c>
    </row>
    <row r="99" spans="9:20" ht="34.5">
      <c r="I99" s="449" t="s">
        <v>584</v>
      </c>
      <c r="J99" s="450" t="s">
        <v>585</v>
      </c>
      <c r="K99" s="451" t="s">
        <v>627</v>
      </c>
      <c r="L99" s="452" t="s">
        <v>823</v>
      </c>
      <c r="M99" s="452" t="s">
        <v>824</v>
      </c>
      <c r="N99" s="453">
        <v>0.64</v>
      </c>
      <c r="P99" s="511" t="s">
        <v>584</v>
      </c>
      <c r="Q99" s="512" t="s">
        <v>585</v>
      </c>
      <c r="R99" s="513" t="s">
        <v>919</v>
      </c>
      <c r="S99" s="513" t="s">
        <v>920</v>
      </c>
      <c r="T99" s="514">
        <v>1</v>
      </c>
    </row>
    <row r="100" spans="9:20" ht="24">
      <c r="I100" s="448" t="s">
        <v>586</v>
      </c>
      <c r="J100" s="443" t="s">
        <v>587</v>
      </c>
      <c r="K100" s="444" t="s">
        <v>825</v>
      </c>
      <c r="L100" s="445" t="s">
        <v>826</v>
      </c>
      <c r="M100" s="445" t="s">
        <v>827</v>
      </c>
      <c r="N100" s="446">
        <v>0.39</v>
      </c>
      <c r="P100" s="510" t="s">
        <v>921</v>
      </c>
      <c r="Q100" s="507" t="s">
        <v>922</v>
      </c>
      <c r="R100" s="508" t="s">
        <v>923</v>
      </c>
      <c r="S100" s="508" t="s">
        <v>924</v>
      </c>
      <c r="T100" s="509">
        <v>1</v>
      </c>
    </row>
    <row r="101" spans="9:20" ht="68.25">
      <c r="I101" s="449" t="s">
        <v>588</v>
      </c>
      <c r="J101" s="450" t="s">
        <v>589</v>
      </c>
      <c r="K101" s="451" t="s">
        <v>825</v>
      </c>
      <c r="L101" s="452" t="s">
        <v>826</v>
      </c>
      <c r="M101" s="452" t="s">
        <v>827</v>
      </c>
      <c r="N101" s="453">
        <v>0.39</v>
      </c>
      <c r="P101" s="511" t="s">
        <v>588</v>
      </c>
      <c r="Q101" s="512" t="s">
        <v>589</v>
      </c>
      <c r="R101" s="513" t="s">
        <v>925</v>
      </c>
      <c r="S101" s="513" t="s">
        <v>926</v>
      </c>
      <c r="T101" s="514">
        <v>1</v>
      </c>
    </row>
    <row r="102" spans="9:20" ht="35.25">
      <c r="I102" s="447">
        <v>104</v>
      </c>
      <c r="J102" s="443" t="s">
        <v>590</v>
      </c>
      <c r="K102" s="444" t="s">
        <v>828</v>
      </c>
      <c r="L102" s="445" t="s">
        <v>829</v>
      </c>
      <c r="M102" s="445" t="s">
        <v>830</v>
      </c>
      <c r="N102" s="446">
        <v>0.16</v>
      </c>
      <c r="P102" s="506">
        <v>104</v>
      </c>
      <c r="Q102" s="507" t="s">
        <v>927</v>
      </c>
      <c r="R102" s="508" t="s">
        <v>928</v>
      </c>
      <c r="S102" s="508" t="s">
        <v>929</v>
      </c>
      <c r="T102" s="509">
        <v>0.81</v>
      </c>
    </row>
    <row r="103" spans="9:20" ht="35.25">
      <c r="I103" s="448" t="s">
        <v>591</v>
      </c>
      <c r="J103" s="443" t="s">
        <v>592</v>
      </c>
      <c r="K103" s="444" t="s">
        <v>831</v>
      </c>
      <c r="L103" s="445" t="s">
        <v>832</v>
      </c>
      <c r="M103" s="445" t="s">
        <v>833</v>
      </c>
      <c r="N103" s="446">
        <v>0.01</v>
      </c>
      <c r="P103" s="510" t="s">
        <v>930</v>
      </c>
      <c r="Q103" s="507" t="s">
        <v>931</v>
      </c>
      <c r="R103" s="508" t="s">
        <v>932</v>
      </c>
      <c r="S103" s="508" t="s">
        <v>933</v>
      </c>
      <c r="T103" s="509">
        <v>0.88</v>
      </c>
    </row>
    <row r="104" spans="9:20" ht="34.5">
      <c r="I104" s="449" t="s">
        <v>593</v>
      </c>
      <c r="J104" s="450" t="s">
        <v>594</v>
      </c>
      <c r="K104" s="451" t="s">
        <v>834</v>
      </c>
      <c r="L104" s="452" t="s">
        <v>835</v>
      </c>
      <c r="M104" s="452">
        <v>464</v>
      </c>
      <c r="N104" s="453">
        <v>0.05</v>
      </c>
      <c r="P104" s="511" t="s">
        <v>593</v>
      </c>
      <c r="Q104" s="512" t="s">
        <v>594</v>
      </c>
      <c r="R104" s="513" t="s">
        <v>934</v>
      </c>
      <c r="S104" s="513" t="s">
        <v>935</v>
      </c>
      <c r="T104" s="514">
        <v>0.76</v>
      </c>
    </row>
    <row r="105" spans="9:20" ht="34.5">
      <c r="I105" s="449" t="s">
        <v>595</v>
      </c>
      <c r="J105" s="450" t="s">
        <v>631</v>
      </c>
      <c r="K105" s="451" t="s">
        <v>836</v>
      </c>
      <c r="L105" s="452" t="s">
        <v>837</v>
      </c>
      <c r="M105" s="452" t="s">
        <v>838</v>
      </c>
      <c r="N105" s="453">
        <v>0</v>
      </c>
      <c r="P105" s="511" t="s">
        <v>595</v>
      </c>
      <c r="Q105" s="512" t="s">
        <v>936</v>
      </c>
      <c r="R105" s="513" t="s">
        <v>937</v>
      </c>
      <c r="S105" s="513" t="s">
        <v>938</v>
      </c>
      <c r="T105" s="514">
        <v>1</v>
      </c>
    </row>
    <row r="106" spans="9:20" ht="46.5">
      <c r="I106" s="448" t="s">
        <v>596</v>
      </c>
      <c r="J106" s="443" t="s">
        <v>597</v>
      </c>
      <c r="K106" s="444" t="s">
        <v>839</v>
      </c>
      <c r="L106" s="445" t="s">
        <v>840</v>
      </c>
      <c r="M106" s="445" t="s">
        <v>841</v>
      </c>
      <c r="N106" s="446">
        <v>0.33</v>
      </c>
      <c r="P106" s="510" t="s">
        <v>939</v>
      </c>
      <c r="Q106" s="507" t="s">
        <v>940</v>
      </c>
      <c r="R106" s="508" t="s">
        <v>941</v>
      </c>
      <c r="S106" s="508" t="s">
        <v>942</v>
      </c>
      <c r="T106" s="509">
        <v>0.76</v>
      </c>
    </row>
    <row r="107" spans="9:20" ht="34.5">
      <c r="I107" s="449" t="s">
        <v>598</v>
      </c>
      <c r="J107" s="450" t="s">
        <v>599</v>
      </c>
      <c r="K107" s="451" t="s">
        <v>629</v>
      </c>
      <c r="L107" s="452" t="s">
        <v>842</v>
      </c>
      <c r="M107" s="452">
        <v>841</v>
      </c>
      <c r="N107" s="453">
        <v>0.07</v>
      </c>
      <c r="P107" s="511" t="s">
        <v>598</v>
      </c>
      <c r="Q107" s="512" t="s">
        <v>599</v>
      </c>
      <c r="R107" s="513" t="s">
        <v>629</v>
      </c>
      <c r="S107" s="513" t="s">
        <v>943</v>
      </c>
      <c r="T107" s="514">
        <v>0.66</v>
      </c>
    </row>
    <row r="108" spans="9:20" ht="34.5">
      <c r="I108" s="449" t="s">
        <v>600</v>
      </c>
      <c r="J108" s="450" t="s">
        <v>601</v>
      </c>
      <c r="K108" s="451" t="s">
        <v>627</v>
      </c>
      <c r="L108" s="452">
        <v>0</v>
      </c>
      <c r="M108" s="452">
        <v>0</v>
      </c>
      <c r="N108" s="453">
        <v>0</v>
      </c>
      <c r="P108" s="511" t="s">
        <v>600</v>
      </c>
      <c r="Q108" s="512" t="s">
        <v>601</v>
      </c>
      <c r="R108" s="513" t="s">
        <v>944</v>
      </c>
      <c r="S108" s="513" t="s">
        <v>945</v>
      </c>
      <c r="T108" s="514">
        <v>0.73</v>
      </c>
    </row>
    <row r="109" spans="9:20" ht="34.5">
      <c r="I109" s="449" t="s">
        <v>602</v>
      </c>
      <c r="J109" s="450" t="s">
        <v>603</v>
      </c>
      <c r="K109" s="451" t="s">
        <v>825</v>
      </c>
      <c r="L109" s="452" t="s">
        <v>843</v>
      </c>
      <c r="M109" s="452" t="s">
        <v>844</v>
      </c>
      <c r="N109" s="453">
        <v>0.57</v>
      </c>
      <c r="P109" s="511" t="s">
        <v>602</v>
      </c>
      <c r="Q109" s="512" t="s">
        <v>603</v>
      </c>
      <c r="R109" s="513" t="s">
        <v>946</v>
      </c>
      <c r="S109" s="513" t="s">
        <v>947</v>
      </c>
      <c r="T109" s="514">
        <v>0.9</v>
      </c>
    </row>
    <row r="110" spans="9:20" ht="23.25">
      <c r="I110" s="449" t="s">
        <v>604</v>
      </c>
      <c r="J110" s="450" t="s">
        <v>605</v>
      </c>
      <c r="K110" s="451" t="s">
        <v>633</v>
      </c>
      <c r="L110" s="452" t="s">
        <v>845</v>
      </c>
      <c r="M110" s="452" t="s">
        <v>846</v>
      </c>
      <c r="N110" s="453">
        <v>0.7</v>
      </c>
      <c r="P110" s="511" t="s">
        <v>604</v>
      </c>
      <c r="Q110" s="512" t="s">
        <v>605</v>
      </c>
      <c r="R110" s="513" t="s">
        <v>633</v>
      </c>
      <c r="S110" s="513" t="s">
        <v>948</v>
      </c>
      <c r="T110" s="514">
        <v>0.54</v>
      </c>
    </row>
    <row r="111" spans="9:20" ht="24">
      <c r="I111" s="447">
        <v>105</v>
      </c>
      <c r="J111" s="443" t="s">
        <v>606</v>
      </c>
      <c r="K111" s="444" t="s">
        <v>799</v>
      </c>
      <c r="L111" s="445" t="s">
        <v>847</v>
      </c>
      <c r="M111" s="445" t="s">
        <v>848</v>
      </c>
      <c r="N111" s="446">
        <v>0.23</v>
      </c>
      <c r="P111" s="506">
        <v>105</v>
      </c>
      <c r="Q111" s="507" t="s">
        <v>949</v>
      </c>
      <c r="R111" s="508" t="s">
        <v>950</v>
      </c>
      <c r="S111" s="508" t="s">
        <v>951</v>
      </c>
      <c r="T111" s="509">
        <v>0.99</v>
      </c>
    </row>
    <row r="112" spans="9:20" ht="24">
      <c r="I112" s="448" t="s">
        <v>607</v>
      </c>
      <c r="J112" s="443" t="s">
        <v>606</v>
      </c>
      <c r="K112" s="444" t="s">
        <v>799</v>
      </c>
      <c r="L112" s="445" t="s">
        <v>847</v>
      </c>
      <c r="M112" s="445" t="s">
        <v>848</v>
      </c>
      <c r="N112" s="446">
        <v>0.23</v>
      </c>
      <c r="P112" s="510" t="s">
        <v>952</v>
      </c>
      <c r="Q112" s="507" t="s">
        <v>949</v>
      </c>
      <c r="R112" s="508" t="s">
        <v>950</v>
      </c>
      <c r="S112" s="508" t="s">
        <v>951</v>
      </c>
      <c r="T112" s="509">
        <v>0.99</v>
      </c>
    </row>
    <row r="113" spans="9:20" ht="57">
      <c r="I113" s="449" t="s">
        <v>608</v>
      </c>
      <c r="J113" s="450" t="s">
        <v>609</v>
      </c>
      <c r="K113" s="451" t="s">
        <v>849</v>
      </c>
      <c r="L113" s="452" t="s">
        <v>850</v>
      </c>
      <c r="M113" s="452" t="s">
        <v>851</v>
      </c>
      <c r="N113" s="453">
        <v>0.05</v>
      </c>
      <c r="P113" s="511" t="s">
        <v>608</v>
      </c>
      <c r="Q113" s="512" t="s">
        <v>609</v>
      </c>
      <c r="R113" s="513" t="s">
        <v>624</v>
      </c>
      <c r="S113" s="513" t="s">
        <v>953</v>
      </c>
      <c r="T113" s="514">
        <v>1</v>
      </c>
    </row>
    <row r="114" spans="9:20" ht="68.25">
      <c r="I114" s="449" t="s">
        <v>610</v>
      </c>
      <c r="J114" s="450" t="s">
        <v>611</v>
      </c>
      <c r="K114" s="451" t="s">
        <v>852</v>
      </c>
      <c r="L114" s="452" t="s">
        <v>853</v>
      </c>
      <c r="M114" s="452" t="s">
        <v>854</v>
      </c>
      <c r="N114" s="453">
        <v>0.63</v>
      </c>
      <c r="P114" s="511" t="s">
        <v>610</v>
      </c>
      <c r="Q114" s="512" t="s">
        <v>611</v>
      </c>
      <c r="R114" s="513" t="s">
        <v>630</v>
      </c>
      <c r="S114" s="513" t="s">
        <v>954</v>
      </c>
      <c r="T114" s="514">
        <v>1</v>
      </c>
    </row>
    <row r="115" spans="9:20" ht="46.5">
      <c r="I115" s="447">
        <v>106</v>
      </c>
      <c r="J115" s="443" t="s">
        <v>614</v>
      </c>
      <c r="K115" s="444" t="s">
        <v>855</v>
      </c>
      <c r="L115" s="445" t="s">
        <v>856</v>
      </c>
      <c r="M115" s="445" t="s">
        <v>857</v>
      </c>
      <c r="N115" s="446">
        <v>0.52</v>
      </c>
      <c r="P115" s="511" t="s">
        <v>612</v>
      </c>
      <c r="Q115" s="512" t="s">
        <v>613</v>
      </c>
      <c r="R115" s="513" t="s">
        <v>628</v>
      </c>
      <c r="S115" s="513" t="s">
        <v>955</v>
      </c>
      <c r="T115" s="514">
        <v>0.93</v>
      </c>
    </row>
    <row r="116" spans="9:20" ht="57.75">
      <c r="I116" s="448" t="s">
        <v>615</v>
      </c>
      <c r="J116" s="443" t="s">
        <v>616</v>
      </c>
      <c r="K116" s="444" t="s">
        <v>855</v>
      </c>
      <c r="L116" s="445" t="s">
        <v>856</v>
      </c>
      <c r="M116" s="445" t="s">
        <v>857</v>
      </c>
      <c r="N116" s="446">
        <v>0.52</v>
      </c>
      <c r="P116" s="506">
        <v>106</v>
      </c>
      <c r="Q116" s="507" t="s">
        <v>956</v>
      </c>
      <c r="R116" s="508" t="s">
        <v>957</v>
      </c>
      <c r="S116" s="508" t="s">
        <v>958</v>
      </c>
      <c r="T116" s="509">
        <v>0.96</v>
      </c>
    </row>
    <row r="117" spans="9:20" ht="46.5" thickBot="1">
      <c r="I117" s="454" t="s">
        <v>617</v>
      </c>
      <c r="J117" s="455" t="s">
        <v>433</v>
      </c>
      <c r="K117" s="456" t="s">
        <v>855</v>
      </c>
      <c r="L117" s="457" t="s">
        <v>856</v>
      </c>
      <c r="M117" s="457" t="s">
        <v>857</v>
      </c>
      <c r="N117" s="458">
        <v>0.52</v>
      </c>
      <c r="P117" s="510" t="s">
        <v>959</v>
      </c>
      <c r="Q117" s="507" t="s">
        <v>960</v>
      </c>
      <c r="R117" s="508" t="s">
        <v>957</v>
      </c>
      <c r="S117" s="508" t="s">
        <v>958</v>
      </c>
      <c r="T117" s="509">
        <v>0.96</v>
      </c>
    </row>
    <row r="118" spans="16:20" ht="79.5" thickBot="1">
      <c r="P118" s="515" t="s">
        <v>617</v>
      </c>
      <c r="Q118" s="500" t="s">
        <v>433</v>
      </c>
      <c r="R118" s="516" t="s">
        <v>961</v>
      </c>
      <c r="S118" s="516" t="s">
        <v>962</v>
      </c>
      <c r="T118" s="517">
        <v>0.96</v>
      </c>
    </row>
  </sheetData>
  <sheetProtection/>
  <mergeCells count="19">
    <mergeCell ref="I77:N77"/>
    <mergeCell ref="C29:G29"/>
    <mergeCell ref="C15:G15"/>
    <mergeCell ref="C8:G8"/>
    <mergeCell ref="B73:H73"/>
    <mergeCell ref="B58:H58"/>
    <mergeCell ref="C59:G59"/>
    <mergeCell ref="C60:G60"/>
    <mergeCell ref="C61:G61"/>
    <mergeCell ref="C62:G62"/>
    <mergeCell ref="B3:H3"/>
    <mergeCell ref="C45:G45"/>
    <mergeCell ref="C51:G51"/>
    <mergeCell ref="B56:H56"/>
    <mergeCell ref="C35:G35"/>
    <mergeCell ref="C4:G4"/>
    <mergeCell ref="C5:G5"/>
    <mergeCell ref="C7:G7"/>
    <mergeCell ref="C21:G21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33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47" t="s">
        <v>148</v>
      </c>
      <c r="C1" s="48"/>
      <c r="D1" s="53"/>
      <c r="E1" s="53"/>
    </row>
    <row r="2" spans="2:5" ht="12.75">
      <c r="B2" s="47" t="s">
        <v>149</v>
      </c>
      <c r="C2" s="48"/>
      <c r="D2" s="53"/>
      <c r="E2" s="53"/>
    </row>
    <row r="3" spans="2:5" ht="12.75">
      <c r="B3" s="49"/>
      <c r="C3" s="49"/>
      <c r="D3" s="54"/>
      <c r="E3" s="54"/>
    </row>
    <row r="4" spans="2:5" ht="38.25">
      <c r="B4" s="50" t="s">
        <v>150</v>
      </c>
      <c r="C4" s="49"/>
      <c r="D4" s="54"/>
      <c r="E4" s="54"/>
    </row>
    <row r="5" spans="2:5" ht="12.75">
      <c r="B5" s="49"/>
      <c r="C5" s="49"/>
      <c r="D5" s="54"/>
      <c r="E5" s="54"/>
    </row>
    <row r="6" spans="2:5" ht="25.5">
      <c r="B6" s="47" t="s">
        <v>151</v>
      </c>
      <c r="C6" s="48"/>
      <c r="D6" s="53"/>
      <c r="E6" s="55" t="s">
        <v>152</v>
      </c>
    </row>
    <row r="7" spans="2:5" ht="13.5" thickBot="1">
      <c r="B7" s="49"/>
      <c r="C7" s="49"/>
      <c r="D7" s="54"/>
      <c r="E7" s="54"/>
    </row>
    <row r="8" spans="2:5" ht="39" thickBot="1">
      <c r="B8" s="51" t="s">
        <v>153</v>
      </c>
      <c r="C8" s="52"/>
      <c r="D8" s="56"/>
      <c r="E8" s="57">
        <v>35</v>
      </c>
    </row>
    <row r="9" spans="2:5" ht="12.75">
      <c r="B9" s="49"/>
      <c r="C9" s="49"/>
      <c r="D9" s="54"/>
      <c r="E9" s="54"/>
    </row>
    <row r="10" spans="2:5" ht="12.7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2"/>
  <sheetViews>
    <sheetView view="pageBreakPreview" zoomScale="110" zoomScaleNormal="110" zoomScaleSheetLayoutView="110" zoomScalePageLayoutView="0" workbookViewId="0" topLeftCell="A64">
      <selection activeCell="G112" sqref="G112"/>
    </sheetView>
  </sheetViews>
  <sheetFormatPr defaultColWidth="11.421875" defaultRowHeight="12.75"/>
  <cols>
    <col min="3" max="3" width="9.8515625" style="0" customWidth="1"/>
    <col min="4" max="4" width="12.28125" style="0" customWidth="1"/>
    <col min="5" max="5" width="18.8515625" style="0" customWidth="1"/>
    <col min="6" max="6" width="18.57421875" style="0" customWidth="1"/>
    <col min="7" max="7" width="12.7109375" style="0" customWidth="1"/>
    <col min="8" max="8" width="12.57421875" style="0" customWidth="1"/>
    <col min="9" max="9" width="18.7109375" style="0" customWidth="1"/>
    <col min="10" max="10" width="18.57421875" style="0" customWidth="1"/>
    <col min="11" max="11" width="12.7109375" style="0" customWidth="1"/>
    <col min="12" max="12" width="12.28125" style="0" customWidth="1"/>
    <col min="13" max="13" width="13.140625" style="0" customWidth="1"/>
  </cols>
  <sheetData>
    <row r="2" ht="13.5" thickBot="1"/>
    <row r="3" spans="2:12" ht="13.5" customHeight="1">
      <c r="B3" s="867" t="s">
        <v>282</v>
      </c>
      <c r="C3" s="868"/>
      <c r="D3" s="868"/>
      <c r="E3" s="868"/>
      <c r="F3" s="868"/>
      <c r="G3" s="868"/>
      <c r="H3" s="868"/>
      <c r="I3" s="868"/>
      <c r="J3" s="868"/>
      <c r="K3" s="868"/>
      <c r="L3" s="869"/>
    </row>
    <row r="4" spans="2:12" ht="11.25" customHeight="1">
      <c r="B4" s="870" t="s">
        <v>283</v>
      </c>
      <c r="C4" s="871"/>
      <c r="D4" s="871"/>
      <c r="E4" s="871"/>
      <c r="F4" s="871"/>
      <c r="G4" s="871"/>
      <c r="H4" s="871"/>
      <c r="I4" s="871"/>
      <c r="J4" s="871"/>
      <c r="K4" s="871"/>
      <c r="L4" s="872"/>
    </row>
    <row r="5" spans="2:12" ht="15.75" customHeight="1">
      <c r="B5" s="870" t="s">
        <v>154</v>
      </c>
      <c r="C5" s="871"/>
      <c r="D5" s="871"/>
      <c r="E5" s="871"/>
      <c r="F5" s="871"/>
      <c r="G5" s="871"/>
      <c r="H5" s="871"/>
      <c r="I5" s="871"/>
      <c r="J5" s="871"/>
      <c r="K5" s="871"/>
      <c r="L5" s="872"/>
    </row>
    <row r="6" spans="2:12" ht="12.75" customHeight="1">
      <c r="B6" s="870">
        <v>2012</v>
      </c>
      <c r="C6" s="871"/>
      <c r="D6" s="871"/>
      <c r="E6" s="871"/>
      <c r="F6" s="871"/>
      <c r="G6" s="871"/>
      <c r="H6" s="871"/>
      <c r="I6" s="871"/>
      <c r="J6" s="871"/>
      <c r="K6" s="871"/>
      <c r="L6" s="872"/>
    </row>
    <row r="7" spans="2:12" ht="6" customHeight="1" thickBot="1"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10"/>
    </row>
    <row r="8" spans="2:12" ht="47.25" customHeight="1">
      <c r="B8" s="793" t="s">
        <v>281</v>
      </c>
      <c r="C8" s="794" t="s">
        <v>280</v>
      </c>
      <c r="D8" s="794" t="s">
        <v>274</v>
      </c>
      <c r="E8" s="794" t="s">
        <v>790</v>
      </c>
      <c r="F8" s="794" t="s">
        <v>645</v>
      </c>
      <c r="G8" s="795" t="s">
        <v>278</v>
      </c>
      <c r="H8" s="794" t="s">
        <v>279</v>
      </c>
      <c r="I8" s="794" t="s">
        <v>791</v>
      </c>
      <c r="J8" s="794" t="s">
        <v>792</v>
      </c>
      <c r="K8" s="794" t="s">
        <v>278</v>
      </c>
      <c r="L8" s="796" t="s">
        <v>279</v>
      </c>
    </row>
    <row r="9" spans="2:12" ht="12.75">
      <c r="B9" s="866" t="s">
        <v>273</v>
      </c>
      <c r="C9" s="80" t="s">
        <v>275</v>
      </c>
      <c r="D9" s="79">
        <v>0.4</v>
      </c>
      <c r="E9" s="80">
        <v>800</v>
      </c>
      <c r="F9" s="80">
        <v>700</v>
      </c>
      <c r="G9" s="94">
        <f>(+F9/E9)*100</f>
        <v>87.5</v>
      </c>
      <c r="H9" s="80">
        <f>(G9*D9)</f>
        <v>35</v>
      </c>
      <c r="I9" s="80">
        <v>2200</v>
      </c>
      <c r="J9" s="80">
        <v>2000</v>
      </c>
      <c r="K9" s="94">
        <f>(+J9/I9)*100</f>
        <v>90.9090909090909</v>
      </c>
      <c r="L9" s="82">
        <f>(K9*D9)</f>
        <v>36.36363636363637</v>
      </c>
    </row>
    <row r="10" spans="2:12" ht="12.75">
      <c r="B10" s="866"/>
      <c r="C10" s="80" t="s">
        <v>276</v>
      </c>
      <c r="D10" s="79">
        <v>0.3</v>
      </c>
      <c r="E10" s="80">
        <v>900</v>
      </c>
      <c r="F10" s="80">
        <v>740</v>
      </c>
      <c r="G10" s="94">
        <f>(+F10/E10)*100</f>
        <v>82.22222222222221</v>
      </c>
      <c r="H10" s="81">
        <f>(G10*D10)</f>
        <v>24.666666666666664</v>
      </c>
      <c r="I10" s="80">
        <v>2000</v>
      </c>
      <c r="J10" s="80">
        <v>1740</v>
      </c>
      <c r="K10" s="94">
        <f>(+J10/I10)*100</f>
        <v>87</v>
      </c>
      <c r="L10" s="85">
        <f>(K10*D10)</f>
        <v>26.099999999999998</v>
      </c>
    </row>
    <row r="11" spans="2:12" ht="12.75">
      <c r="B11" s="866"/>
      <c r="C11" s="80" t="s">
        <v>277</v>
      </c>
      <c r="D11" s="79">
        <v>0.3</v>
      </c>
      <c r="E11" s="80">
        <v>800</v>
      </c>
      <c r="F11" s="80">
        <v>590</v>
      </c>
      <c r="G11" s="94">
        <f>(+F11/E11)*100</f>
        <v>73.75</v>
      </c>
      <c r="H11" s="80">
        <f>(G11*D11)</f>
        <v>22.125</v>
      </c>
      <c r="I11" s="80">
        <v>1400</v>
      </c>
      <c r="J11" s="80">
        <v>1090</v>
      </c>
      <c r="K11" s="94">
        <f>(+J11/I11)*100</f>
        <v>77.85714285714286</v>
      </c>
      <c r="L11" s="82">
        <f>(K11*D11)</f>
        <v>23.357142857142858</v>
      </c>
    </row>
    <row r="12" spans="2:13" ht="12.75">
      <c r="B12" s="866"/>
      <c r="C12" s="80" t="s">
        <v>12</v>
      </c>
      <c r="D12" s="79">
        <f>SUM(D9:D11)</f>
        <v>1</v>
      </c>
      <c r="E12" s="73">
        <f>SUM(E9:E11)</f>
        <v>2500</v>
      </c>
      <c r="F12" s="73">
        <f>SUM(F9:F11)</f>
        <v>2030</v>
      </c>
      <c r="G12" s="92">
        <f>(+F12/E12)*100</f>
        <v>81.2</v>
      </c>
      <c r="H12" s="73">
        <f>SUM(H9:H11)</f>
        <v>81.79166666666666</v>
      </c>
      <c r="I12" s="73">
        <f>SUM(I9:I11)</f>
        <v>5600</v>
      </c>
      <c r="J12" s="73">
        <f>SUM(J9:J11)</f>
        <v>4830</v>
      </c>
      <c r="K12" s="92">
        <f>(+J12/I12)*100</f>
        <v>86.25</v>
      </c>
      <c r="L12" s="75">
        <f>SUM(L9:L11)</f>
        <v>85.82077922077923</v>
      </c>
      <c r="M12" s="104" t="s">
        <v>990</v>
      </c>
    </row>
    <row r="13" spans="2:12" ht="51.75" thickBot="1">
      <c r="B13" s="819" t="s">
        <v>281</v>
      </c>
      <c r="C13" s="820" t="s">
        <v>280</v>
      </c>
      <c r="D13" s="821" t="s">
        <v>274</v>
      </c>
      <c r="E13" s="821" t="s">
        <v>793</v>
      </c>
      <c r="F13" s="821" t="s">
        <v>645</v>
      </c>
      <c r="G13" s="822" t="s">
        <v>155</v>
      </c>
      <c r="H13" s="821" t="s">
        <v>156</v>
      </c>
      <c r="I13" s="821" t="s">
        <v>794</v>
      </c>
      <c r="J13" s="821" t="s">
        <v>792</v>
      </c>
      <c r="K13" s="822" t="s">
        <v>155</v>
      </c>
      <c r="L13" s="823" t="s">
        <v>156</v>
      </c>
    </row>
    <row r="14" spans="2:12" ht="12.75">
      <c r="B14" s="873" t="s">
        <v>273</v>
      </c>
      <c r="C14" s="824" t="s">
        <v>275</v>
      </c>
      <c r="D14" s="825">
        <v>0.4</v>
      </c>
      <c r="E14" s="826">
        <v>100000000</v>
      </c>
      <c r="F14" s="827">
        <v>99397817.24</v>
      </c>
      <c r="G14" s="828">
        <f>(+F14/E14)*100</f>
        <v>99.39781724</v>
      </c>
      <c r="H14" s="824">
        <f>(G14*D14)</f>
        <v>39.759126896</v>
      </c>
      <c r="I14" s="829">
        <v>520000000</v>
      </c>
      <c r="J14" s="829">
        <v>407646314</v>
      </c>
      <c r="K14" s="828">
        <f>(+J14/I14)*100</f>
        <v>78.39352192307693</v>
      </c>
      <c r="L14" s="830">
        <f>(K14*D14)</f>
        <v>31.357408769230773</v>
      </c>
    </row>
    <row r="15" spans="2:12" ht="12.75">
      <c r="B15" s="864"/>
      <c r="C15" s="90" t="s">
        <v>276</v>
      </c>
      <c r="D15" s="83">
        <v>0.3</v>
      </c>
      <c r="E15" s="641">
        <v>100000000</v>
      </c>
      <c r="F15" s="642">
        <v>97197651.64</v>
      </c>
      <c r="G15" s="95">
        <f>(+F15/E15)*100</f>
        <v>97.19765164</v>
      </c>
      <c r="H15" s="89">
        <f>(G15*D15)</f>
        <v>29.159295492</v>
      </c>
      <c r="I15" s="803">
        <v>820080000</v>
      </c>
      <c r="J15" s="803">
        <v>509314153</v>
      </c>
      <c r="K15" s="95">
        <f>(+J15/I15)*100</f>
        <v>62.10542300751146</v>
      </c>
      <c r="L15" s="97">
        <f>(K15*D15)</f>
        <v>18.631626902253437</v>
      </c>
    </row>
    <row r="16" spans="2:12" ht="12.75">
      <c r="B16" s="864"/>
      <c r="C16" s="90" t="s">
        <v>277</v>
      </c>
      <c r="D16" s="83">
        <v>0.3</v>
      </c>
      <c r="E16" s="641">
        <v>100000000</v>
      </c>
      <c r="F16" s="642">
        <v>0</v>
      </c>
      <c r="G16" s="95">
        <f>(+F16/E16)*100</f>
        <v>0</v>
      </c>
      <c r="H16" s="90">
        <f>(G16*D16)</f>
        <v>0</v>
      </c>
      <c r="I16" s="803">
        <v>669000000</v>
      </c>
      <c r="J16" s="803">
        <v>351384699</v>
      </c>
      <c r="K16" s="95">
        <f>(+J16/I16)*100</f>
        <v>52.523871300448434</v>
      </c>
      <c r="L16" s="91">
        <f>(K16*D16)</f>
        <v>15.757161390134529</v>
      </c>
    </row>
    <row r="17" spans="2:13" ht="13.5" thickBot="1">
      <c r="B17" s="865"/>
      <c r="C17" s="798" t="s">
        <v>12</v>
      </c>
      <c r="D17" s="799">
        <f>SUM(D14:D16)</f>
        <v>1</v>
      </c>
      <c r="E17" s="817">
        <f>SUM(E14:E16)</f>
        <v>300000000</v>
      </c>
      <c r="F17" s="817">
        <f>SUM(F14:F16)</f>
        <v>196595468.88</v>
      </c>
      <c r="G17" s="800">
        <f>(+F17/E17)*100</f>
        <v>65.53182296</v>
      </c>
      <c r="H17" s="801">
        <f>SUM(H14:H16)</f>
        <v>68.918422388</v>
      </c>
      <c r="I17" s="818">
        <f>SUM(I14:I16)</f>
        <v>2009080000</v>
      </c>
      <c r="J17" s="818">
        <f>SUM(J14:J16)</f>
        <v>1268345166</v>
      </c>
      <c r="K17" s="800">
        <f>(+J17/I17)*100</f>
        <v>63.130645170924005</v>
      </c>
      <c r="L17" s="802">
        <f>SUM(L14:L16)</f>
        <v>65.74619706161874</v>
      </c>
      <c r="M17" s="104" t="s">
        <v>990</v>
      </c>
    </row>
    <row r="18" spans="2:12" ht="9.75" customHeight="1">
      <c r="B18" s="811"/>
      <c r="C18" s="812"/>
      <c r="D18" s="813"/>
      <c r="E18" s="814"/>
      <c r="F18" s="814"/>
      <c r="G18" s="815"/>
      <c r="H18" s="812"/>
      <c r="I18" s="814"/>
      <c r="J18" s="814"/>
      <c r="K18" s="815"/>
      <c r="L18" s="816"/>
    </row>
    <row r="19" spans="2:12" ht="51">
      <c r="B19" s="76" t="s">
        <v>281</v>
      </c>
      <c r="C19" s="71" t="s">
        <v>280</v>
      </c>
      <c r="D19" s="71" t="s">
        <v>274</v>
      </c>
      <c r="E19" s="71" t="s">
        <v>790</v>
      </c>
      <c r="F19" s="71" t="s">
        <v>645</v>
      </c>
      <c r="G19" s="93" t="s">
        <v>278</v>
      </c>
      <c r="H19" s="71" t="s">
        <v>279</v>
      </c>
      <c r="I19" s="71" t="s">
        <v>791</v>
      </c>
      <c r="J19" s="71" t="s">
        <v>792</v>
      </c>
      <c r="K19" s="71" t="s">
        <v>278</v>
      </c>
      <c r="L19" s="77" t="s">
        <v>279</v>
      </c>
    </row>
    <row r="20" spans="1:12" ht="12.75">
      <c r="A20" s="485"/>
      <c r="B20" s="866" t="s">
        <v>157</v>
      </c>
      <c r="C20" s="80" t="s">
        <v>275</v>
      </c>
      <c r="D20" s="79">
        <v>0.2</v>
      </c>
      <c r="E20" s="80">
        <v>400</v>
      </c>
      <c r="F20" s="80">
        <v>389</v>
      </c>
      <c r="G20" s="94">
        <f>(+F20/E20)*100</f>
        <v>97.25</v>
      </c>
      <c r="H20" s="80">
        <f>(G20*D20)</f>
        <v>19.450000000000003</v>
      </c>
      <c r="I20" s="80">
        <v>1500</v>
      </c>
      <c r="J20" s="80">
        <v>1489</v>
      </c>
      <c r="K20" s="94">
        <f>(+J20/I20)*100</f>
        <v>99.26666666666667</v>
      </c>
      <c r="L20" s="82">
        <f>(K20*D20)</f>
        <v>19.853333333333335</v>
      </c>
    </row>
    <row r="21" spans="1:12" ht="12.75">
      <c r="A21" s="485"/>
      <c r="B21" s="866"/>
      <c r="C21" s="80" t="s">
        <v>276</v>
      </c>
      <c r="D21" s="79">
        <v>0.8</v>
      </c>
      <c r="E21" s="80">
        <v>600</v>
      </c>
      <c r="F21" s="80">
        <v>589</v>
      </c>
      <c r="G21" s="94">
        <f>(+F21/E21)*100</f>
        <v>98.16666666666667</v>
      </c>
      <c r="H21" s="81">
        <f>(G21*D21)</f>
        <v>78.53333333333335</v>
      </c>
      <c r="I21" s="80">
        <v>1700</v>
      </c>
      <c r="J21" s="80">
        <v>1386</v>
      </c>
      <c r="K21" s="94">
        <f>(+J21/I21)*100</f>
        <v>81.52941176470588</v>
      </c>
      <c r="L21" s="85">
        <f>(K21*D21)</f>
        <v>65.22352941176472</v>
      </c>
    </row>
    <row r="22" spans="1:13" ht="12.75">
      <c r="A22" s="485"/>
      <c r="B22" s="866"/>
      <c r="C22" s="80" t="s">
        <v>12</v>
      </c>
      <c r="D22" s="79">
        <f>SUM(D20:D21)</f>
        <v>1</v>
      </c>
      <c r="E22" s="80">
        <f>SUM(E20:E21)</f>
        <v>1000</v>
      </c>
      <c r="F22" s="80">
        <f>SUM(F20:F21)</f>
        <v>978</v>
      </c>
      <c r="G22" s="80">
        <f>(+F22/E22)*100</f>
        <v>97.8</v>
      </c>
      <c r="H22" s="80">
        <f>SUM(H20:H21)</f>
        <v>97.98333333333335</v>
      </c>
      <c r="I22" s="80">
        <f>SUM(I20:I21)</f>
        <v>3200</v>
      </c>
      <c r="J22" s="80">
        <f>SUM(J20:J21)</f>
        <v>2875</v>
      </c>
      <c r="K22" s="92">
        <f>(+J22/I22)*100</f>
        <v>89.84375</v>
      </c>
      <c r="L22" s="82">
        <f>SUM(L20:L21)</f>
        <v>85.07686274509805</v>
      </c>
      <c r="M22" s="104" t="s">
        <v>990</v>
      </c>
    </row>
    <row r="23" spans="1:12" ht="51">
      <c r="A23" s="485"/>
      <c r="B23" s="78" t="s">
        <v>281</v>
      </c>
      <c r="C23" s="72" t="s">
        <v>280</v>
      </c>
      <c r="D23" s="71" t="s">
        <v>274</v>
      </c>
      <c r="E23" s="71" t="s">
        <v>793</v>
      </c>
      <c r="F23" s="71" t="s">
        <v>645</v>
      </c>
      <c r="G23" s="93" t="s">
        <v>155</v>
      </c>
      <c r="H23" s="71" t="s">
        <v>156</v>
      </c>
      <c r="I23" s="71" t="s">
        <v>794</v>
      </c>
      <c r="J23" s="71" t="s">
        <v>792</v>
      </c>
      <c r="K23" s="93" t="s">
        <v>155</v>
      </c>
      <c r="L23" s="77" t="s">
        <v>156</v>
      </c>
    </row>
    <row r="24" spans="1:12" ht="12.75">
      <c r="A24" s="485"/>
      <c r="B24" s="864" t="s">
        <v>157</v>
      </c>
      <c r="C24" s="90" t="s">
        <v>275</v>
      </c>
      <c r="D24" s="83">
        <v>0.2</v>
      </c>
      <c r="E24" s="642">
        <v>302719000</v>
      </c>
      <c r="F24" s="642">
        <v>302344969.63</v>
      </c>
      <c r="G24" s="95">
        <f>+(F24/E24)*100</f>
        <v>99.87644304784304</v>
      </c>
      <c r="H24" s="90">
        <f>(G24*D24)</f>
        <v>19.975288609568608</v>
      </c>
      <c r="I24" s="797">
        <v>1800000000</v>
      </c>
      <c r="J24" s="797">
        <v>938072634</v>
      </c>
      <c r="K24" s="95">
        <f>(+J24/I24)*100</f>
        <v>52.11514633333333</v>
      </c>
      <c r="L24" s="91">
        <f>(K24*D24)</f>
        <v>10.423029266666667</v>
      </c>
    </row>
    <row r="25" spans="1:12" ht="12.75">
      <c r="A25" s="485"/>
      <c r="B25" s="864"/>
      <c r="C25" s="90" t="s">
        <v>276</v>
      </c>
      <c r="D25" s="83">
        <v>0.8</v>
      </c>
      <c r="E25" s="642">
        <v>21945211804</v>
      </c>
      <c r="F25" s="642">
        <v>21943674165.24</v>
      </c>
      <c r="G25" s="95">
        <f>(+F25/E25)*100</f>
        <v>99.99299328357488</v>
      </c>
      <c r="H25" s="89">
        <f>(G25*D25)</f>
        <v>79.9943946268599</v>
      </c>
      <c r="I25" s="797">
        <v>48283020834</v>
      </c>
      <c r="J25" s="797">
        <v>47787271514</v>
      </c>
      <c r="K25" s="95">
        <f>(+J25/I25)*100</f>
        <v>98.97324295075816</v>
      </c>
      <c r="L25" s="97">
        <f>(K25*D25)</f>
        <v>79.17859436060654</v>
      </c>
    </row>
    <row r="26" spans="1:13" ht="13.5" thickBot="1">
      <c r="A26" s="485"/>
      <c r="B26" s="865"/>
      <c r="C26" s="798" t="s">
        <v>12</v>
      </c>
      <c r="D26" s="831">
        <f>SUM(D24:D25)</f>
        <v>1</v>
      </c>
      <c r="E26" s="817">
        <f>SUM(E24:E25)</f>
        <v>22247930804</v>
      </c>
      <c r="F26" s="817">
        <f>SUM(F24:F25)</f>
        <v>22246019134.870003</v>
      </c>
      <c r="G26" s="800">
        <f>(+F26/E26)*100</f>
        <v>99.99140742954103</v>
      </c>
      <c r="H26" s="801">
        <f>SUM(H24:H25)</f>
        <v>99.96968323642851</v>
      </c>
      <c r="I26" s="801">
        <f>SUM(I24:I25)</f>
        <v>50083020834</v>
      </c>
      <c r="J26" s="801">
        <f>SUM(J24:J25)</f>
        <v>48725344148</v>
      </c>
      <c r="K26" s="800">
        <f>(+J26/I26)*100</f>
        <v>97.28914777225596</v>
      </c>
      <c r="L26" s="802">
        <f>SUM(L24:L25)</f>
        <v>89.6016236272732</v>
      </c>
      <c r="M26" s="104" t="s">
        <v>990</v>
      </c>
    </row>
    <row r="27" spans="2:12" ht="13.5" customHeight="1" thickBot="1">
      <c r="B27" s="832"/>
      <c r="C27" s="833"/>
      <c r="D27" s="833"/>
      <c r="E27" s="834"/>
      <c r="F27" s="834"/>
      <c r="G27" s="834"/>
      <c r="H27" s="834"/>
      <c r="I27" s="834"/>
      <c r="J27" s="834"/>
      <c r="K27" s="835"/>
      <c r="L27" s="836"/>
    </row>
    <row r="28" spans="2:12" ht="51">
      <c r="B28" s="793" t="s">
        <v>281</v>
      </c>
      <c r="C28" s="794" t="s">
        <v>280</v>
      </c>
      <c r="D28" s="794" t="s">
        <v>274</v>
      </c>
      <c r="E28" s="794" t="s">
        <v>790</v>
      </c>
      <c r="F28" s="794" t="s">
        <v>645</v>
      </c>
      <c r="G28" s="795" t="s">
        <v>278</v>
      </c>
      <c r="H28" s="794" t="s">
        <v>279</v>
      </c>
      <c r="I28" s="794" t="s">
        <v>791</v>
      </c>
      <c r="J28" s="794" t="s">
        <v>792</v>
      </c>
      <c r="K28" s="794" t="s">
        <v>278</v>
      </c>
      <c r="L28" s="796" t="s">
        <v>279</v>
      </c>
    </row>
    <row r="29" spans="2:12" ht="12.75" customHeight="1">
      <c r="B29" s="866" t="s">
        <v>158</v>
      </c>
      <c r="C29" s="80" t="s">
        <v>275</v>
      </c>
      <c r="D29" s="79">
        <v>0.1</v>
      </c>
      <c r="E29" s="80">
        <v>800</v>
      </c>
      <c r="F29" s="80">
        <v>770</v>
      </c>
      <c r="G29" s="94">
        <f>(+F29/E29)*100</f>
        <v>96.25</v>
      </c>
      <c r="H29" s="80">
        <f>(G29*D29)</f>
        <v>9.625</v>
      </c>
      <c r="I29" s="80">
        <v>2400</v>
      </c>
      <c r="J29" s="80">
        <v>2110</v>
      </c>
      <c r="K29" s="94">
        <f>(+J29/I29)*100</f>
        <v>87.91666666666667</v>
      </c>
      <c r="L29" s="82">
        <f>(K29*D29)</f>
        <v>8.791666666666668</v>
      </c>
    </row>
    <row r="30" spans="2:12" ht="12.75">
      <c r="B30" s="866"/>
      <c r="C30" s="80" t="s">
        <v>276</v>
      </c>
      <c r="D30" s="79">
        <v>0.3</v>
      </c>
      <c r="E30" s="80">
        <v>200</v>
      </c>
      <c r="F30" s="80">
        <v>200</v>
      </c>
      <c r="G30" s="94">
        <f>(+F30/E30)*100</f>
        <v>100</v>
      </c>
      <c r="H30" s="81">
        <f>(G30*D30)</f>
        <v>30</v>
      </c>
      <c r="I30" s="80">
        <v>200</v>
      </c>
      <c r="J30" s="80">
        <v>197</v>
      </c>
      <c r="K30" s="94">
        <f>(+J30/I30)*100</f>
        <v>98.5</v>
      </c>
      <c r="L30" s="85">
        <f>(K30*D30)</f>
        <v>29.549999999999997</v>
      </c>
    </row>
    <row r="31" spans="2:12" ht="12.75">
      <c r="B31" s="866"/>
      <c r="C31" s="80" t="s">
        <v>277</v>
      </c>
      <c r="D31" s="79">
        <v>0.3</v>
      </c>
      <c r="E31" s="80">
        <v>300</v>
      </c>
      <c r="F31" s="80">
        <v>300</v>
      </c>
      <c r="G31" s="94">
        <f>(+F31/E31)*100</f>
        <v>100</v>
      </c>
      <c r="H31" s="81">
        <f>(G31*D31)</f>
        <v>30</v>
      </c>
      <c r="I31" s="80">
        <v>700</v>
      </c>
      <c r="J31" s="80">
        <v>600</v>
      </c>
      <c r="K31" s="94">
        <f>(+J31/I31)*100</f>
        <v>85.71428571428571</v>
      </c>
      <c r="L31" s="85">
        <f>(K31*D31)</f>
        <v>25.71428571428571</v>
      </c>
    </row>
    <row r="32" spans="2:12" ht="12.75">
      <c r="B32" s="866"/>
      <c r="C32" s="80" t="s">
        <v>159</v>
      </c>
      <c r="D32" s="79">
        <v>0.3</v>
      </c>
      <c r="E32" s="80">
        <v>600</v>
      </c>
      <c r="F32" s="80">
        <v>600</v>
      </c>
      <c r="G32" s="94">
        <f>(+F32/E32)*100</f>
        <v>100</v>
      </c>
      <c r="H32" s="80">
        <f>(G32*D32)</f>
        <v>30</v>
      </c>
      <c r="I32" s="80">
        <v>1300</v>
      </c>
      <c r="J32" s="80">
        <v>1300</v>
      </c>
      <c r="K32" s="94">
        <f>(+J32/I32)*100</f>
        <v>100</v>
      </c>
      <c r="L32" s="82">
        <f>(K32*D32)</f>
        <v>30</v>
      </c>
    </row>
    <row r="33" spans="2:13" ht="12.75">
      <c r="B33" s="866"/>
      <c r="C33" s="73" t="s">
        <v>12</v>
      </c>
      <c r="D33" s="74">
        <f>SUM(D29:D32)</f>
        <v>1</v>
      </c>
      <c r="E33" s="73">
        <f>SUM(E29:E32)</f>
        <v>1900</v>
      </c>
      <c r="F33" s="73">
        <f>SUM(F29:F32)</f>
        <v>1870</v>
      </c>
      <c r="G33" s="92">
        <f>(+F33/E33)*100</f>
        <v>98.42105263157895</v>
      </c>
      <c r="H33" s="73">
        <f>SUM(H29:H32)</f>
        <v>99.625</v>
      </c>
      <c r="I33" s="73">
        <f>SUM(I29:I32)</f>
        <v>4600</v>
      </c>
      <c r="J33" s="73">
        <f>SUM(J29:J32)</f>
        <v>4207</v>
      </c>
      <c r="K33" s="92">
        <f>(+J33/I33)*100</f>
        <v>91.45652173913044</v>
      </c>
      <c r="L33" s="75">
        <f>SUM(L29:L32)</f>
        <v>94.05595238095238</v>
      </c>
      <c r="M33" s="104" t="s">
        <v>990</v>
      </c>
    </row>
    <row r="34" spans="2:12" ht="51">
      <c r="B34" s="78" t="s">
        <v>281</v>
      </c>
      <c r="C34" s="72" t="s">
        <v>280</v>
      </c>
      <c r="D34" s="71" t="s">
        <v>274</v>
      </c>
      <c r="E34" s="71" t="s">
        <v>793</v>
      </c>
      <c r="F34" s="71" t="s">
        <v>645</v>
      </c>
      <c r="G34" s="93" t="s">
        <v>155</v>
      </c>
      <c r="H34" s="71" t="s">
        <v>156</v>
      </c>
      <c r="I34" s="71" t="s">
        <v>794</v>
      </c>
      <c r="J34" s="71" t="s">
        <v>792</v>
      </c>
      <c r="K34" s="93" t="s">
        <v>155</v>
      </c>
      <c r="L34" s="77" t="s">
        <v>156</v>
      </c>
    </row>
    <row r="35" spans="2:12" ht="12.75" customHeight="1">
      <c r="B35" s="864" t="s">
        <v>158</v>
      </c>
      <c r="C35" s="90" t="s">
        <v>275</v>
      </c>
      <c r="D35" s="83">
        <v>0.1</v>
      </c>
      <c r="E35" s="804">
        <v>234360000</v>
      </c>
      <c r="F35" s="804">
        <v>234228497.24</v>
      </c>
      <c r="G35" s="95">
        <f>(+F35/E35)*100</f>
        <v>99.94388856460147</v>
      </c>
      <c r="H35" s="90">
        <f>(G35*D35)</f>
        <v>9.994388856460148</v>
      </c>
      <c r="I35" s="806">
        <v>3524375000</v>
      </c>
      <c r="J35" s="806">
        <v>2674726235</v>
      </c>
      <c r="K35" s="95">
        <f>(+J35/I35)*100</f>
        <v>75.89221450611811</v>
      </c>
      <c r="L35" s="91">
        <f>(K35*D35)</f>
        <v>7.589221450611811</v>
      </c>
    </row>
    <row r="36" spans="2:12" ht="12.75">
      <c r="B36" s="864"/>
      <c r="C36" s="90" t="s">
        <v>276</v>
      </c>
      <c r="D36" s="83">
        <v>0.3</v>
      </c>
      <c r="E36" s="804">
        <v>95231418</v>
      </c>
      <c r="F36" s="804">
        <v>95230512.43</v>
      </c>
      <c r="G36" s="95">
        <f>(+F36/E36)*100</f>
        <v>99.99904908483039</v>
      </c>
      <c r="H36" s="89">
        <f>(G36*D36)</f>
        <v>29.999714725449117</v>
      </c>
      <c r="I36" s="806">
        <v>4335000000</v>
      </c>
      <c r="J36" s="806">
        <v>1644468316</v>
      </c>
      <c r="K36" s="95">
        <f>(+J36/I36)*100</f>
        <v>37.93467856978086</v>
      </c>
      <c r="L36" s="97">
        <f>(K36*D36)</f>
        <v>11.380403570934257</v>
      </c>
    </row>
    <row r="37" spans="2:12" ht="12.75">
      <c r="B37" s="864"/>
      <c r="C37" s="90" t="s">
        <v>277</v>
      </c>
      <c r="D37" s="83">
        <v>0.3</v>
      </c>
      <c r="E37" s="804">
        <v>643164000</v>
      </c>
      <c r="F37" s="804">
        <v>643151790.84</v>
      </c>
      <c r="G37" s="95">
        <f>(+F37/E37)*100</f>
        <v>99.99810170345356</v>
      </c>
      <c r="H37" s="89">
        <f>(G37*D37)</f>
        <v>29.999430511036067</v>
      </c>
      <c r="I37" s="806">
        <v>8450000000</v>
      </c>
      <c r="J37" s="806">
        <v>8424584289</v>
      </c>
      <c r="K37" s="95">
        <f>(+J37/I37)*100</f>
        <v>99.69922235502958</v>
      </c>
      <c r="L37" s="97">
        <f>(K37*D37)</f>
        <v>29.909766706508872</v>
      </c>
    </row>
    <row r="38" spans="2:12" ht="12.75">
      <c r="B38" s="864"/>
      <c r="C38" s="90" t="s">
        <v>159</v>
      </c>
      <c r="D38" s="83">
        <v>0.3</v>
      </c>
      <c r="E38" s="804">
        <v>508678666</v>
      </c>
      <c r="F38" s="804">
        <v>508671594.03</v>
      </c>
      <c r="G38" s="95">
        <f>(+F38/E38)*100</f>
        <v>99.99860973725208</v>
      </c>
      <c r="H38" s="90">
        <f>(G38*D38)</f>
        <v>29.999582921175623</v>
      </c>
      <c r="I38" s="806">
        <v>2038400000</v>
      </c>
      <c r="J38" s="806">
        <v>1614018751</v>
      </c>
      <c r="K38" s="95">
        <f>(+J38/I38)*100</f>
        <v>79.18066871075354</v>
      </c>
      <c r="L38" s="91">
        <f>(K38*D38)</f>
        <v>23.75420061322606</v>
      </c>
    </row>
    <row r="39" spans="2:13" ht="13.5" thickBot="1">
      <c r="B39" s="865"/>
      <c r="C39" s="798" t="s">
        <v>12</v>
      </c>
      <c r="D39" s="799">
        <f>SUM(D35:D38)</f>
        <v>1</v>
      </c>
      <c r="E39" s="817">
        <f>SUM(E35:E38)</f>
        <v>1481434084</v>
      </c>
      <c r="F39" s="817">
        <f>SUM(F35:F38)</f>
        <v>1481282394.54</v>
      </c>
      <c r="G39" s="800">
        <f>(+F39/E39)*100</f>
        <v>99.98976063385888</v>
      </c>
      <c r="H39" s="801">
        <f>SUM(H35:H38)</f>
        <v>99.99311701412097</v>
      </c>
      <c r="I39" s="837">
        <f>SUM(I35:I38)</f>
        <v>18347775000</v>
      </c>
      <c r="J39" s="837">
        <f>SUM(J35:J38)</f>
        <v>14357797591</v>
      </c>
      <c r="K39" s="800">
        <f>(+J39/I39)*100</f>
        <v>78.25361707891011</v>
      </c>
      <c r="L39" s="802">
        <f>SUM(L35:L38)</f>
        <v>72.633592341281</v>
      </c>
      <c r="M39" s="104" t="s">
        <v>990</v>
      </c>
    </row>
    <row r="40" spans="2:12" ht="9.75" customHeight="1" thickBot="1">
      <c r="B40" s="832"/>
      <c r="C40" s="833"/>
      <c r="D40" s="833"/>
      <c r="E40" s="834"/>
      <c r="F40" s="834"/>
      <c r="G40" s="835"/>
      <c r="H40" s="834"/>
      <c r="I40" s="834"/>
      <c r="J40" s="834"/>
      <c r="K40" s="835"/>
      <c r="L40" s="836"/>
    </row>
    <row r="41" spans="2:12" ht="51">
      <c r="B41" s="793" t="s">
        <v>281</v>
      </c>
      <c r="C41" s="794" t="s">
        <v>280</v>
      </c>
      <c r="D41" s="794" t="s">
        <v>274</v>
      </c>
      <c r="E41" s="794" t="s">
        <v>790</v>
      </c>
      <c r="F41" s="794" t="s">
        <v>645</v>
      </c>
      <c r="G41" s="794" t="s">
        <v>278</v>
      </c>
      <c r="H41" s="794" t="s">
        <v>279</v>
      </c>
      <c r="I41" s="794" t="s">
        <v>791</v>
      </c>
      <c r="J41" s="794" t="s">
        <v>792</v>
      </c>
      <c r="K41" s="794" t="s">
        <v>278</v>
      </c>
      <c r="L41" s="796" t="s">
        <v>279</v>
      </c>
    </row>
    <row r="42" spans="2:12" ht="12.75">
      <c r="B42" s="866" t="s">
        <v>160</v>
      </c>
      <c r="C42" s="80" t="s">
        <v>275</v>
      </c>
      <c r="D42" s="79">
        <v>0.4</v>
      </c>
      <c r="E42" s="80">
        <v>500</v>
      </c>
      <c r="F42" s="80">
        <v>500</v>
      </c>
      <c r="G42" s="94">
        <f>(+F42/E42)*100</f>
        <v>100</v>
      </c>
      <c r="H42" s="80">
        <f>(G42*D42)</f>
        <v>40</v>
      </c>
      <c r="I42" s="80">
        <v>3400</v>
      </c>
      <c r="J42" s="80">
        <v>3351</v>
      </c>
      <c r="K42" s="81">
        <f>(+J42/I42)*100</f>
        <v>98.55882352941177</v>
      </c>
      <c r="L42" s="82">
        <f>(K42*D42)</f>
        <v>39.42352941176471</v>
      </c>
    </row>
    <row r="43" spans="2:12" ht="12.75">
      <c r="B43" s="866"/>
      <c r="C43" s="80" t="s">
        <v>276</v>
      </c>
      <c r="D43" s="79">
        <v>0.6</v>
      </c>
      <c r="E43" s="80">
        <v>2700</v>
      </c>
      <c r="F43" s="80">
        <v>2350</v>
      </c>
      <c r="G43" s="94">
        <f>(+F43/E43)*100</f>
        <v>87.03703703703704</v>
      </c>
      <c r="H43" s="81">
        <f>(G43*D43)</f>
        <v>52.22222222222222</v>
      </c>
      <c r="I43" s="80">
        <v>4200</v>
      </c>
      <c r="J43" s="80">
        <v>3994</v>
      </c>
      <c r="K43" s="81">
        <f>(+J43/I43)*100</f>
        <v>95.0952380952381</v>
      </c>
      <c r="L43" s="85">
        <f>(K43*D43)</f>
        <v>57.05714285714286</v>
      </c>
    </row>
    <row r="44" spans="2:12" ht="12.75">
      <c r="B44" s="866"/>
      <c r="C44" s="80" t="s">
        <v>12</v>
      </c>
      <c r="D44" s="79">
        <f>SUM(D42:D43)</f>
        <v>1</v>
      </c>
      <c r="E44" s="73">
        <f>SUM(E42:E43)</f>
        <v>3200</v>
      </c>
      <c r="F44" s="73">
        <f>SUM(F42:F43)</f>
        <v>2850</v>
      </c>
      <c r="G44" s="92">
        <f>(+F44/E44)*100</f>
        <v>89.0625</v>
      </c>
      <c r="H44" s="73">
        <f>SUM(H42:H43)</f>
        <v>92.22222222222223</v>
      </c>
      <c r="I44" s="73">
        <f>SUM(I42:I43)</f>
        <v>7600</v>
      </c>
      <c r="J44" s="73">
        <f>SUM(J42:J43)</f>
        <v>7345</v>
      </c>
      <c r="K44" s="92">
        <f>(+J44/I44)*100</f>
        <v>96.64473684210526</v>
      </c>
      <c r="L44" s="75">
        <f>SUM(L42:L43)</f>
        <v>96.48067226890757</v>
      </c>
    </row>
    <row r="45" spans="2:12" ht="51">
      <c r="B45" s="78" t="s">
        <v>281</v>
      </c>
      <c r="C45" s="72" t="s">
        <v>280</v>
      </c>
      <c r="D45" s="71" t="s">
        <v>274</v>
      </c>
      <c r="E45" s="71" t="s">
        <v>793</v>
      </c>
      <c r="F45" s="71" t="s">
        <v>645</v>
      </c>
      <c r="G45" s="93" t="s">
        <v>155</v>
      </c>
      <c r="H45" s="71" t="s">
        <v>156</v>
      </c>
      <c r="I45" s="71" t="s">
        <v>794</v>
      </c>
      <c r="J45" s="71" t="s">
        <v>792</v>
      </c>
      <c r="K45" s="93" t="s">
        <v>155</v>
      </c>
      <c r="L45" s="77" t="s">
        <v>156</v>
      </c>
    </row>
    <row r="46" spans="2:12" ht="12.75">
      <c r="B46" s="864" t="s">
        <v>160</v>
      </c>
      <c r="C46" s="90" t="s">
        <v>275</v>
      </c>
      <c r="D46" s="83">
        <v>0.4</v>
      </c>
      <c r="E46" s="804">
        <v>399446000</v>
      </c>
      <c r="F46" s="804">
        <v>399319139.77</v>
      </c>
      <c r="G46" s="95">
        <f>(+F46/E46)*100</f>
        <v>99.96824095622436</v>
      </c>
      <c r="H46" s="90">
        <f>(G46*D46)</f>
        <v>39.987296382489745</v>
      </c>
      <c r="I46" s="90">
        <v>1150000000</v>
      </c>
      <c r="J46" s="90">
        <v>938290438</v>
      </c>
      <c r="K46" s="95">
        <f>(+J46/I46)*100</f>
        <v>81.59047286956522</v>
      </c>
      <c r="L46" s="91">
        <f>(K46*D46)</f>
        <v>32.63618914782609</v>
      </c>
    </row>
    <row r="47" spans="2:12" ht="12.75">
      <c r="B47" s="864"/>
      <c r="C47" s="90" t="s">
        <v>276</v>
      </c>
      <c r="D47" s="83">
        <v>0.6</v>
      </c>
      <c r="E47" s="804">
        <v>536602045</v>
      </c>
      <c r="F47" s="804">
        <v>536385931.12</v>
      </c>
      <c r="G47" s="95">
        <f>(+F47/E47)*100</f>
        <v>99.95972548334213</v>
      </c>
      <c r="H47" s="89">
        <f>(G47*D47)</f>
        <v>59.97583529000527</v>
      </c>
      <c r="I47" s="90">
        <v>1150000000</v>
      </c>
      <c r="J47" s="90">
        <v>955035188</v>
      </c>
      <c r="K47" s="95">
        <f>(+J47/I47)*100</f>
        <v>83.04653808695652</v>
      </c>
      <c r="L47" s="97">
        <f>(K47*D47)</f>
        <v>49.827922852173906</v>
      </c>
    </row>
    <row r="48" spans="2:13" ht="13.5" thickBot="1">
      <c r="B48" s="865"/>
      <c r="C48" s="798" t="s">
        <v>12</v>
      </c>
      <c r="D48" s="799">
        <f>SUM(D46:D47)</f>
        <v>1</v>
      </c>
      <c r="E48" s="817">
        <f>SUM(E46:E47)</f>
        <v>936048045</v>
      </c>
      <c r="F48" s="817">
        <f>SUM(F46:F47)</f>
        <v>935705070.89</v>
      </c>
      <c r="G48" s="800">
        <f>(+F48/E48)*100</f>
        <v>99.96335934764973</v>
      </c>
      <c r="H48" s="801">
        <f>SUM(H46:H47)</f>
        <v>99.96313167249502</v>
      </c>
      <c r="I48" s="801">
        <f>SUM(I46:I47)</f>
        <v>2300000000</v>
      </c>
      <c r="J48" s="801">
        <f>SUM(J46:J47)</f>
        <v>1893325626</v>
      </c>
      <c r="K48" s="800">
        <f>(+J48/I48)*100</f>
        <v>82.31850547826087</v>
      </c>
      <c r="L48" s="802">
        <f>SUM(L46:L47)</f>
        <v>82.464112</v>
      </c>
      <c r="M48" s="714" t="s">
        <v>990</v>
      </c>
    </row>
    <row r="49" spans="2:12" ht="9.75" customHeight="1" thickBot="1">
      <c r="B49" s="832"/>
      <c r="C49" s="833"/>
      <c r="D49" s="833"/>
      <c r="E49" s="833"/>
      <c r="F49" s="833"/>
      <c r="G49" s="835"/>
      <c r="H49" s="834"/>
      <c r="I49" s="834"/>
      <c r="J49" s="834"/>
      <c r="K49" s="835"/>
      <c r="L49" s="836"/>
    </row>
    <row r="50" spans="2:12" ht="51">
      <c r="B50" s="793" t="s">
        <v>281</v>
      </c>
      <c r="C50" s="794" t="s">
        <v>280</v>
      </c>
      <c r="D50" s="794" t="s">
        <v>274</v>
      </c>
      <c r="E50" s="794" t="s">
        <v>790</v>
      </c>
      <c r="F50" s="794" t="s">
        <v>645</v>
      </c>
      <c r="G50" s="795" t="s">
        <v>278</v>
      </c>
      <c r="H50" s="794" t="s">
        <v>279</v>
      </c>
      <c r="I50" s="794" t="s">
        <v>791</v>
      </c>
      <c r="J50" s="794" t="s">
        <v>792</v>
      </c>
      <c r="K50" s="794" t="s">
        <v>278</v>
      </c>
      <c r="L50" s="796" t="s">
        <v>279</v>
      </c>
    </row>
    <row r="51" spans="2:12" ht="12.75">
      <c r="B51" s="866" t="s">
        <v>161</v>
      </c>
      <c r="C51" s="80" t="s">
        <v>275</v>
      </c>
      <c r="D51" s="79">
        <v>0.15</v>
      </c>
      <c r="E51" s="80">
        <v>1600</v>
      </c>
      <c r="F51" s="80">
        <v>1600</v>
      </c>
      <c r="G51" s="94">
        <f aca="true" t="shared" si="0" ref="G51:G57">(+F51/E51)*100</f>
        <v>100</v>
      </c>
      <c r="H51" s="80">
        <f aca="true" t="shared" si="1" ref="H51:H56">(G51*D51)</f>
        <v>15</v>
      </c>
      <c r="I51" s="80">
        <v>2400</v>
      </c>
      <c r="J51" s="80">
        <v>2300</v>
      </c>
      <c r="K51" s="94">
        <f aca="true" t="shared" si="2" ref="K51:K57">(+J51/I51)*100</f>
        <v>95.83333333333334</v>
      </c>
      <c r="L51" s="82">
        <f aca="true" t="shared" si="3" ref="L51:L56">(K51*D51)</f>
        <v>14.375000000000002</v>
      </c>
    </row>
    <row r="52" spans="2:12" ht="12.75">
      <c r="B52" s="866"/>
      <c r="C52" s="80" t="s">
        <v>276</v>
      </c>
      <c r="D52" s="79">
        <v>0.15</v>
      </c>
      <c r="E52" s="80">
        <v>600</v>
      </c>
      <c r="F52" s="80">
        <v>600</v>
      </c>
      <c r="G52" s="94">
        <f t="shared" si="0"/>
        <v>100</v>
      </c>
      <c r="H52" s="80">
        <f t="shared" si="1"/>
        <v>15</v>
      </c>
      <c r="I52" s="80">
        <v>1600</v>
      </c>
      <c r="J52" s="80">
        <v>1600</v>
      </c>
      <c r="K52" s="94">
        <f t="shared" si="2"/>
        <v>100</v>
      </c>
      <c r="L52" s="82">
        <f t="shared" si="3"/>
        <v>15</v>
      </c>
    </row>
    <row r="53" spans="2:12" ht="12.75">
      <c r="B53" s="866"/>
      <c r="C53" s="80" t="s">
        <v>277</v>
      </c>
      <c r="D53" s="79">
        <v>0.2</v>
      </c>
      <c r="E53" s="80">
        <v>700</v>
      </c>
      <c r="F53" s="80">
        <v>700</v>
      </c>
      <c r="G53" s="94">
        <f t="shared" si="0"/>
        <v>100</v>
      </c>
      <c r="H53" s="80">
        <f t="shared" si="1"/>
        <v>20</v>
      </c>
      <c r="I53" s="80">
        <v>900</v>
      </c>
      <c r="J53" s="80">
        <v>900</v>
      </c>
      <c r="K53" s="94">
        <f t="shared" si="2"/>
        <v>100</v>
      </c>
      <c r="L53" s="82">
        <f t="shared" si="3"/>
        <v>20</v>
      </c>
    </row>
    <row r="54" spans="2:12" ht="12.75">
      <c r="B54" s="866"/>
      <c r="C54" s="80" t="s">
        <v>159</v>
      </c>
      <c r="D54" s="79">
        <v>0.15</v>
      </c>
      <c r="E54" s="80">
        <v>300</v>
      </c>
      <c r="F54" s="80">
        <v>300</v>
      </c>
      <c r="G54" s="94">
        <f t="shared" si="0"/>
        <v>100</v>
      </c>
      <c r="H54" s="80">
        <f t="shared" si="1"/>
        <v>15</v>
      </c>
      <c r="I54" s="80">
        <v>1500</v>
      </c>
      <c r="J54" s="80">
        <v>1500</v>
      </c>
      <c r="K54" s="94">
        <f t="shared" si="2"/>
        <v>100</v>
      </c>
      <c r="L54" s="82">
        <f t="shared" si="3"/>
        <v>15</v>
      </c>
    </row>
    <row r="55" spans="2:12" ht="12.75">
      <c r="B55" s="866"/>
      <c r="C55" s="80" t="s">
        <v>162</v>
      </c>
      <c r="D55" s="79">
        <v>0.2</v>
      </c>
      <c r="E55" s="80">
        <v>600</v>
      </c>
      <c r="F55" s="80">
        <v>560</v>
      </c>
      <c r="G55" s="94">
        <f t="shared" si="0"/>
        <v>93.33333333333333</v>
      </c>
      <c r="H55" s="80">
        <f t="shared" si="1"/>
        <v>18.666666666666668</v>
      </c>
      <c r="I55" s="80">
        <v>2900</v>
      </c>
      <c r="J55" s="80">
        <v>2660</v>
      </c>
      <c r="K55" s="94">
        <f t="shared" si="2"/>
        <v>91.72413793103448</v>
      </c>
      <c r="L55" s="82">
        <f t="shared" si="3"/>
        <v>18.344827586206897</v>
      </c>
    </row>
    <row r="56" spans="2:12" ht="12.75">
      <c r="B56" s="866"/>
      <c r="C56" s="80" t="s">
        <v>163</v>
      </c>
      <c r="D56" s="79">
        <v>0.15</v>
      </c>
      <c r="E56" s="80">
        <v>300</v>
      </c>
      <c r="F56" s="80">
        <v>300</v>
      </c>
      <c r="G56" s="94">
        <f t="shared" si="0"/>
        <v>100</v>
      </c>
      <c r="H56" s="80">
        <f t="shared" si="1"/>
        <v>15</v>
      </c>
      <c r="I56" s="80">
        <v>300</v>
      </c>
      <c r="J56" s="80">
        <v>300</v>
      </c>
      <c r="K56" s="94">
        <f t="shared" si="2"/>
        <v>100</v>
      </c>
      <c r="L56" s="82">
        <f t="shared" si="3"/>
        <v>15</v>
      </c>
    </row>
    <row r="57" spans="2:13" ht="12.75">
      <c r="B57" s="866"/>
      <c r="C57" s="80" t="s">
        <v>12</v>
      </c>
      <c r="D57" s="79">
        <f>SUM(D51:D56)</f>
        <v>1</v>
      </c>
      <c r="E57" s="73">
        <f>SUM(E51:E56)</f>
        <v>4100</v>
      </c>
      <c r="F57" s="73">
        <f>SUM(F51:F56)</f>
        <v>4060</v>
      </c>
      <c r="G57" s="92">
        <f t="shared" si="0"/>
        <v>99.02439024390245</v>
      </c>
      <c r="H57" s="73">
        <f>SUM(H51:H56)</f>
        <v>98.66666666666667</v>
      </c>
      <c r="I57" s="73">
        <f>SUM(I51:I56)</f>
        <v>9600</v>
      </c>
      <c r="J57" s="73">
        <f>SUM(J51:J56)</f>
        <v>9260</v>
      </c>
      <c r="K57" s="92">
        <f t="shared" si="2"/>
        <v>96.45833333333333</v>
      </c>
      <c r="L57" s="75">
        <f>SUM(L51:L56)</f>
        <v>97.71982758620689</v>
      </c>
      <c r="M57" s="714" t="s">
        <v>990</v>
      </c>
    </row>
    <row r="58" spans="2:12" ht="51">
      <c r="B58" s="78" t="s">
        <v>281</v>
      </c>
      <c r="C58" s="72" t="s">
        <v>280</v>
      </c>
      <c r="D58" s="71" t="s">
        <v>274</v>
      </c>
      <c r="E58" s="71" t="s">
        <v>793</v>
      </c>
      <c r="F58" s="71" t="s">
        <v>645</v>
      </c>
      <c r="G58" s="93" t="s">
        <v>155</v>
      </c>
      <c r="H58" s="71" t="s">
        <v>156</v>
      </c>
      <c r="I58" s="71" t="s">
        <v>794</v>
      </c>
      <c r="J58" s="71" t="s">
        <v>792</v>
      </c>
      <c r="K58" s="93" t="s">
        <v>155</v>
      </c>
      <c r="L58" s="77" t="s">
        <v>156</v>
      </c>
    </row>
    <row r="59" spans="2:15" ht="12.75">
      <c r="B59" s="864" t="s">
        <v>161</v>
      </c>
      <c r="C59" s="90" t="s">
        <v>275</v>
      </c>
      <c r="D59" s="83">
        <v>0.15</v>
      </c>
      <c r="E59" s="804">
        <v>400000000</v>
      </c>
      <c r="F59" s="804">
        <v>375861814.91</v>
      </c>
      <c r="G59" s="95">
        <f aca="true" t="shared" si="4" ref="G59:G65">(+F59/E59)*100</f>
        <v>93.9654537275</v>
      </c>
      <c r="H59" s="90">
        <f aca="true" t="shared" si="5" ref="H59:H64">(G59*D59)</f>
        <v>14.094818059125</v>
      </c>
      <c r="I59" s="90">
        <v>3150000000</v>
      </c>
      <c r="J59" s="90">
        <v>2671380646</v>
      </c>
      <c r="K59" s="95">
        <f aca="true" t="shared" si="6" ref="K59:K65">(+J59/I59)*100</f>
        <v>84.80573479365079</v>
      </c>
      <c r="L59" s="91">
        <f aca="true" t="shared" si="7" ref="L59:L64">(K59*D59)</f>
        <v>12.720860219047617</v>
      </c>
      <c r="M59" s="805" t="s">
        <v>594</v>
      </c>
      <c r="N59" s="696">
        <v>400000000</v>
      </c>
      <c r="O59" s="697">
        <v>375861814.91</v>
      </c>
    </row>
    <row r="60" spans="2:15" ht="12.75">
      <c r="B60" s="864"/>
      <c r="C60" s="90" t="s">
        <v>276</v>
      </c>
      <c r="D60" s="83">
        <v>0.15</v>
      </c>
      <c r="E60" s="804">
        <v>315803448</v>
      </c>
      <c r="F60" s="804">
        <v>315539538.9</v>
      </c>
      <c r="G60" s="95">
        <f t="shared" si="4"/>
        <v>99.91643248302975</v>
      </c>
      <c r="H60" s="90">
        <f t="shared" si="5"/>
        <v>14.987464872454462</v>
      </c>
      <c r="I60" s="90">
        <v>1265803448</v>
      </c>
      <c r="J60" s="90">
        <v>855336961</v>
      </c>
      <c r="K60" s="95">
        <f t="shared" si="6"/>
        <v>67.57265216424028</v>
      </c>
      <c r="L60" s="91">
        <f t="shared" si="7"/>
        <v>10.135897824636041</v>
      </c>
      <c r="M60" s="805" t="s">
        <v>631</v>
      </c>
      <c r="N60" s="696">
        <v>315803448</v>
      </c>
      <c r="O60" s="697">
        <v>315539538.9</v>
      </c>
    </row>
    <row r="61" spans="2:15" ht="12.75">
      <c r="B61" s="864"/>
      <c r="C61" s="90" t="s">
        <v>277</v>
      </c>
      <c r="D61" s="83">
        <v>0.2</v>
      </c>
      <c r="E61" s="804">
        <v>489000000</v>
      </c>
      <c r="F61" s="804">
        <v>425598086.85</v>
      </c>
      <c r="G61" s="95">
        <f t="shared" si="4"/>
        <v>87.03437358895705</v>
      </c>
      <c r="H61" s="90">
        <f t="shared" si="5"/>
        <v>17.40687471779141</v>
      </c>
      <c r="I61" s="90">
        <v>2250000000</v>
      </c>
      <c r="J61" s="90">
        <v>1849214348</v>
      </c>
      <c r="K61" s="95">
        <f t="shared" si="6"/>
        <v>82.18730435555555</v>
      </c>
      <c r="L61" s="91">
        <f t="shared" si="7"/>
        <v>16.43746087111111</v>
      </c>
      <c r="M61" s="805" t="s">
        <v>599</v>
      </c>
      <c r="N61" s="696">
        <v>489000000</v>
      </c>
      <c r="O61" s="697">
        <v>425598086.85</v>
      </c>
    </row>
    <row r="62" spans="2:15" ht="12.75">
      <c r="B62" s="864"/>
      <c r="C62" s="90" t="s">
        <v>159</v>
      </c>
      <c r="D62" s="83">
        <v>0.15</v>
      </c>
      <c r="E62" s="804">
        <v>96237000</v>
      </c>
      <c r="F62" s="804">
        <v>95982400</v>
      </c>
      <c r="G62" s="95">
        <f t="shared" si="4"/>
        <v>99.7354447873479</v>
      </c>
      <c r="H62" s="90">
        <f t="shared" si="5"/>
        <v>14.960316718102185</v>
      </c>
      <c r="I62" s="90">
        <v>1200000000</v>
      </c>
      <c r="J62" s="90">
        <v>1004491897</v>
      </c>
      <c r="K62" s="95">
        <f t="shared" si="6"/>
        <v>83.70765808333334</v>
      </c>
      <c r="L62" s="91">
        <f t="shared" si="7"/>
        <v>12.5561487125</v>
      </c>
      <c r="M62" s="805" t="s">
        <v>601</v>
      </c>
      <c r="N62" s="696">
        <v>96237000</v>
      </c>
      <c r="O62" s="697">
        <v>95982400</v>
      </c>
    </row>
    <row r="63" spans="2:15" ht="12.75">
      <c r="B63" s="864"/>
      <c r="C63" s="90" t="s">
        <v>162</v>
      </c>
      <c r="D63" s="83">
        <v>0.2</v>
      </c>
      <c r="E63" s="804">
        <v>785129000</v>
      </c>
      <c r="F63" s="804">
        <v>725019099.29</v>
      </c>
      <c r="G63" s="95">
        <f t="shared" si="4"/>
        <v>92.34394593627289</v>
      </c>
      <c r="H63" s="90">
        <f t="shared" si="5"/>
        <v>18.46878918725458</v>
      </c>
      <c r="I63" s="90">
        <v>3535129000</v>
      </c>
      <c r="J63" s="90">
        <v>3468207194</v>
      </c>
      <c r="K63" s="95">
        <f t="shared" si="6"/>
        <v>98.10694868560667</v>
      </c>
      <c r="L63" s="91">
        <f t="shared" si="7"/>
        <v>19.621389737121333</v>
      </c>
      <c r="M63" s="805" t="s">
        <v>603</v>
      </c>
      <c r="N63" s="696">
        <v>785129000</v>
      </c>
      <c r="O63" s="697">
        <v>725019099.29</v>
      </c>
    </row>
    <row r="64" spans="2:15" ht="12.75">
      <c r="B64" s="864"/>
      <c r="C64" s="90" t="s">
        <v>163</v>
      </c>
      <c r="D64" s="83">
        <v>0.15</v>
      </c>
      <c r="E64" s="804">
        <v>100000000</v>
      </c>
      <c r="F64" s="804">
        <v>76623906.45</v>
      </c>
      <c r="G64" s="95">
        <f t="shared" si="4"/>
        <v>76.62390645</v>
      </c>
      <c r="H64" s="90">
        <f t="shared" si="5"/>
        <v>11.493585967500001</v>
      </c>
      <c r="I64" s="90">
        <f>(330000000+E64)</f>
        <v>430000000</v>
      </c>
      <c r="J64" s="90">
        <f>(268549427+F64)</f>
        <v>345173333.45</v>
      </c>
      <c r="K64" s="95">
        <f t="shared" si="6"/>
        <v>80.27286824418604</v>
      </c>
      <c r="L64" s="91">
        <f t="shared" si="7"/>
        <v>12.040930236627906</v>
      </c>
      <c r="M64" s="805" t="s">
        <v>605</v>
      </c>
      <c r="N64" s="696">
        <v>100000000</v>
      </c>
      <c r="O64" s="697">
        <v>76623906.45</v>
      </c>
    </row>
    <row r="65" spans="2:13" ht="13.5" thickBot="1">
      <c r="B65" s="865"/>
      <c r="C65" s="798" t="s">
        <v>12</v>
      </c>
      <c r="D65" s="799">
        <f>SUM(D59:D64)</f>
        <v>1</v>
      </c>
      <c r="E65" s="817">
        <f>SUM(E59:E64)</f>
        <v>2186169448</v>
      </c>
      <c r="F65" s="817">
        <f>SUM(F59:F64)</f>
        <v>2014624846.3999999</v>
      </c>
      <c r="G65" s="800">
        <f t="shared" si="4"/>
        <v>92.15318822807005</v>
      </c>
      <c r="H65" s="801">
        <f>SUM(H59:H64)</f>
        <v>91.41184952222764</v>
      </c>
      <c r="I65" s="801">
        <f>SUM(I59:I64)</f>
        <v>11830932448</v>
      </c>
      <c r="J65" s="801">
        <f>SUM(J59:J64)</f>
        <v>10193804379.45</v>
      </c>
      <c r="K65" s="800">
        <f t="shared" si="6"/>
        <v>86.16230736042489</v>
      </c>
      <c r="L65" s="802">
        <f>SUM(L59:L64)</f>
        <v>83.51268760104401</v>
      </c>
      <c r="M65" s="714" t="s">
        <v>990</v>
      </c>
    </row>
    <row r="66" spans="2:12" ht="13.5" thickBot="1">
      <c r="B66" s="832"/>
      <c r="C66" s="833"/>
      <c r="D66" s="833"/>
      <c r="E66" s="834"/>
      <c r="F66" s="834"/>
      <c r="G66" s="835"/>
      <c r="H66" s="834"/>
      <c r="I66" s="834"/>
      <c r="J66" s="834"/>
      <c r="K66" s="835"/>
      <c r="L66" s="836"/>
    </row>
    <row r="67" spans="2:12" ht="51">
      <c r="B67" s="793" t="s">
        <v>281</v>
      </c>
      <c r="C67" s="794" t="s">
        <v>280</v>
      </c>
      <c r="D67" s="794" t="s">
        <v>274</v>
      </c>
      <c r="E67" s="794" t="s">
        <v>790</v>
      </c>
      <c r="F67" s="794" t="s">
        <v>645</v>
      </c>
      <c r="G67" s="795" t="s">
        <v>278</v>
      </c>
      <c r="H67" s="794" t="s">
        <v>279</v>
      </c>
      <c r="I67" s="794" t="s">
        <v>791</v>
      </c>
      <c r="J67" s="794" t="s">
        <v>792</v>
      </c>
      <c r="K67" s="794" t="s">
        <v>278</v>
      </c>
      <c r="L67" s="796" t="s">
        <v>279</v>
      </c>
    </row>
    <row r="68" spans="2:12" ht="12.75">
      <c r="B68" s="866" t="s">
        <v>63</v>
      </c>
      <c r="C68" s="80" t="s">
        <v>275</v>
      </c>
      <c r="D68" s="79">
        <v>0.55</v>
      </c>
      <c r="E68" s="80">
        <v>2500</v>
      </c>
      <c r="F68" s="80">
        <v>2146</v>
      </c>
      <c r="G68" s="94">
        <f>(+F68/E68)*100</f>
        <v>85.84</v>
      </c>
      <c r="H68" s="80">
        <f>(G68*D68)</f>
        <v>47.212</v>
      </c>
      <c r="I68" s="80">
        <v>3600</v>
      </c>
      <c r="J68" s="80">
        <v>3562</v>
      </c>
      <c r="K68" s="94">
        <f>(+J68/I68)*100</f>
        <v>98.94444444444444</v>
      </c>
      <c r="L68" s="82">
        <f>(K68*D68)</f>
        <v>54.41944444444445</v>
      </c>
    </row>
    <row r="69" spans="2:12" ht="12.75">
      <c r="B69" s="866"/>
      <c r="C69" s="80" t="s">
        <v>276</v>
      </c>
      <c r="D69" s="79">
        <v>0.45</v>
      </c>
      <c r="E69" s="80">
        <v>1800</v>
      </c>
      <c r="F69" s="80">
        <v>1602</v>
      </c>
      <c r="G69" s="94">
        <f>(+F69/E69)*100</f>
        <v>89</v>
      </c>
      <c r="H69" s="80">
        <f>(G69*D69)</f>
        <v>40.050000000000004</v>
      </c>
      <c r="I69" s="80">
        <v>1800</v>
      </c>
      <c r="J69" s="80">
        <v>1660</v>
      </c>
      <c r="K69" s="94">
        <f>(+J69/I69)*100</f>
        <v>92.22222222222223</v>
      </c>
      <c r="L69" s="82">
        <f>(K69*D69)</f>
        <v>41.50000000000001</v>
      </c>
    </row>
    <row r="70" spans="2:13" ht="12.75">
      <c r="B70" s="866"/>
      <c r="C70" s="80" t="s">
        <v>12</v>
      </c>
      <c r="D70" s="79">
        <f>SUM(D68:D69)</f>
        <v>1</v>
      </c>
      <c r="E70" s="73">
        <f>SUM(E68:E69)</f>
        <v>4300</v>
      </c>
      <c r="F70" s="73">
        <f>SUM(F68:F69)</f>
        <v>3748</v>
      </c>
      <c r="G70" s="92">
        <f>(+F70/E70)*100</f>
        <v>87.16279069767442</v>
      </c>
      <c r="H70" s="73">
        <f>SUM(H68:H69)</f>
        <v>87.262</v>
      </c>
      <c r="I70" s="73">
        <f>SUM(I68:I69)</f>
        <v>5400</v>
      </c>
      <c r="J70" s="73">
        <f>SUM(J68:J69)</f>
        <v>5222</v>
      </c>
      <c r="K70" s="92">
        <f>(+J70/I70)*100</f>
        <v>96.70370370370371</v>
      </c>
      <c r="L70" s="75">
        <f>SUM(L68:L69)</f>
        <v>95.91944444444445</v>
      </c>
      <c r="M70" s="714" t="s">
        <v>990</v>
      </c>
    </row>
    <row r="71" spans="2:12" ht="51">
      <c r="B71" s="78" t="s">
        <v>281</v>
      </c>
      <c r="C71" s="72" t="s">
        <v>280</v>
      </c>
      <c r="D71" s="71" t="s">
        <v>274</v>
      </c>
      <c r="E71" s="71" t="s">
        <v>793</v>
      </c>
      <c r="F71" s="71" t="s">
        <v>645</v>
      </c>
      <c r="G71" s="93" t="s">
        <v>155</v>
      </c>
      <c r="H71" s="71" t="s">
        <v>156</v>
      </c>
      <c r="I71" s="71" t="s">
        <v>794</v>
      </c>
      <c r="J71" s="71" t="s">
        <v>792</v>
      </c>
      <c r="K71" s="93" t="s">
        <v>155</v>
      </c>
      <c r="L71" s="77" t="s">
        <v>156</v>
      </c>
    </row>
    <row r="72" spans="2:12" ht="12.75">
      <c r="B72" s="864" t="s">
        <v>63</v>
      </c>
      <c r="C72" s="90" t="s">
        <v>275</v>
      </c>
      <c r="D72" s="83">
        <v>0.55</v>
      </c>
      <c r="E72" s="804">
        <v>202016109</v>
      </c>
      <c r="F72" s="804">
        <v>118822396</v>
      </c>
      <c r="G72" s="95">
        <f>(+F72/E72)*100</f>
        <v>58.81827770477452</v>
      </c>
      <c r="H72" s="90">
        <f>(G72*D72)</f>
        <v>32.350052737625994</v>
      </c>
      <c r="I72" s="90">
        <v>1528000000</v>
      </c>
      <c r="J72" s="90">
        <v>963679549</v>
      </c>
      <c r="K72" s="95">
        <f>(+J72/I72)*100</f>
        <v>63.06803331151832</v>
      </c>
      <c r="L72" s="91">
        <f>(K72*D72)</f>
        <v>34.68741832133508</v>
      </c>
    </row>
    <row r="73" spans="2:12" ht="12.75">
      <c r="B73" s="864"/>
      <c r="C73" s="90" t="s">
        <v>276</v>
      </c>
      <c r="D73" s="83">
        <v>0.45</v>
      </c>
      <c r="E73" s="804">
        <v>460000000</v>
      </c>
      <c r="F73" s="804">
        <v>416229262</v>
      </c>
      <c r="G73" s="95">
        <f>(+F73/E73)*100</f>
        <v>90.48462217391304</v>
      </c>
      <c r="H73" s="90">
        <f>(G73*D73)</f>
        <v>40.71807997826087</v>
      </c>
      <c r="I73" s="90">
        <v>1531600000</v>
      </c>
      <c r="J73" s="90">
        <v>1410120385</v>
      </c>
      <c r="K73" s="95">
        <f>(+J73/I73)*100</f>
        <v>92.06845031339775</v>
      </c>
      <c r="L73" s="91">
        <f>(K73*D73)</f>
        <v>41.43080264102899</v>
      </c>
    </row>
    <row r="74" spans="2:13" ht="13.5" thickBot="1">
      <c r="B74" s="865"/>
      <c r="C74" s="798" t="s">
        <v>12</v>
      </c>
      <c r="D74" s="799">
        <f>SUM(D72:D73)</f>
        <v>1</v>
      </c>
      <c r="E74" s="817">
        <f>SUM(E72:E73)</f>
        <v>662016109</v>
      </c>
      <c r="F74" s="817">
        <f>SUM(F72:F73)</f>
        <v>535051658</v>
      </c>
      <c r="G74" s="800">
        <f>(+F74/E74)*100</f>
        <v>80.82154659472192</v>
      </c>
      <c r="H74" s="801">
        <f>SUM(H72:H73)</f>
        <v>73.06813271588686</v>
      </c>
      <c r="I74" s="801">
        <f>SUM(I72:I73)</f>
        <v>3059600000</v>
      </c>
      <c r="J74" s="801">
        <f>SUM(J72:J73)</f>
        <v>2373799934</v>
      </c>
      <c r="K74" s="800">
        <f>(+J74/I74)*100</f>
        <v>77.58530311151785</v>
      </c>
      <c r="L74" s="802">
        <f>SUM(L72:L73)</f>
        <v>76.11822096236406</v>
      </c>
      <c r="M74" s="714" t="s">
        <v>990</v>
      </c>
    </row>
    <row r="75" spans="2:12" ht="13.5" thickBot="1">
      <c r="B75" s="832"/>
      <c r="C75" s="833"/>
      <c r="D75" s="833"/>
      <c r="E75" s="834"/>
      <c r="F75" s="834"/>
      <c r="G75" s="835"/>
      <c r="H75" s="834"/>
      <c r="I75" s="834"/>
      <c r="J75" s="834"/>
      <c r="K75" s="835"/>
      <c r="L75" s="836"/>
    </row>
    <row r="76" spans="2:12" ht="51">
      <c r="B76" s="793" t="s">
        <v>281</v>
      </c>
      <c r="C76" s="794" t="s">
        <v>280</v>
      </c>
      <c r="D76" s="794" t="s">
        <v>274</v>
      </c>
      <c r="E76" s="794" t="s">
        <v>790</v>
      </c>
      <c r="F76" s="794" t="s">
        <v>645</v>
      </c>
      <c r="G76" s="795" t="s">
        <v>278</v>
      </c>
      <c r="H76" s="794" t="s">
        <v>279</v>
      </c>
      <c r="I76" s="794" t="s">
        <v>791</v>
      </c>
      <c r="J76" s="794" t="s">
        <v>792</v>
      </c>
      <c r="K76" s="794" t="s">
        <v>278</v>
      </c>
      <c r="L76" s="796" t="s">
        <v>279</v>
      </c>
    </row>
    <row r="77" spans="2:12" ht="12.75">
      <c r="B77" s="866" t="s">
        <v>62</v>
      </c>
      <c r="C77" s="80" t="s">
        <v>275</v>
      </c>
      <c r="D77" s="79">
        <v>1</v>
      </c>
      <c r="E77" s="80">
        <v>500</v>
      </c>
      <c r="F77" s="80">
        <v>350</v>
      </c>
      <c r="G77" s="81">
        <f>(+F77/E77)*100</f>
        <v>70</v>
      </c>
      <c r="H77" s="80">
        <f>(G77*D77)</f>
        <v>70</v>
      </c>
      <c r="I77" s="80">
        <v>600</v>
      </c>
      <c r="J77" s="80">
        <v>558</v>
      </c>
      <c r="K77" s="81">
        <f>(+J77/I77)*100</f>
        <v>93</v>
      </c>
      <c r="L77" s="82">
        <f>(K77*D77)</f>
        <v>93</v>
      </c>
    </row>
    <row r="78" spans="2:13" ht="12.75">
      <c r="B78" s="866"/>
      <c r="C78" s="80" t="s">
        <v>12</v>
      </c>
      <c r="D78" s="79">
        <f>SUM(D77:D77)</f>
        <v>1</v>
      </c>
      <c r="E78" s="73">
        <f>SUM(E77:E77)</f>
        <v>500</v>
      </c>
      <c r="F78" s="73">
        <f>SUM(F77:F77)</f>
        <v>350</v>
      </c>
      <c r="G78" s="73">
        <f>(+F78/E78)*100</f>
        <v>70</v>
      </c>
      <c r="H78" s="73">
        <f>SUM(H77:H77)</f>
        <v>70</v>
      </c>
      <c r="I78" s="73">
        <f>SUM(I77:I77)</f>
        <v>600</v>
      </c>
      <c r="J78" s="73">
        <v>575</v>
      </c>
      <c r="K78" s="73">
        <f>(+J78/I78)*100</f>
        <v>95.83333333333334</v>
      </c>
      <c r="L78" s="75">
        <f>SUM(L77:L77)</f>
        <v>93</v>
      </c>
      <c r="M78" s="714" t="s">
        <v>990</v>
      </c>
    </row>
    <row r="79" spans="2:12" ht="51">
      <c r="B79" s="78" t="s">
        <v>281</v>
      </c>
      <c r="C79" s="72" t="s">
        <v>280</v>
      </c>
      <c r="D79" s="71" t="s">
        <v>274</v>
      </c>
      <c r="E79" s="71" t="s">
        <v>793</v>
      </c>
      <c r="F79" s="71" t="s">
        <v>645</v>
      </c>
      <c r="G79" s="93" t="s">
        <v>155</v>
      </c>
      <c r="H79" s="71" t="s">
        <v>156</v>
      </c>
      <c r="I79" s="71" t="s">
        <v>794</v>
      </c>
      <c r="J79" s="71" t="s">
        <v>792</v>
      </c>
      <c r="K79" s="93" t="s">
        <v>155</v>
      </c>
      <c r="L79" s="77" t="s">
        <v>156</v>
      </c>
    </row>
    <row r="80" spans="2:12" ht="12.75">
      <c r="B80" s="864" t="s">
        <v>62</v>
      </c>
      <c r="C80" s="90" t="s">
        <v>275</v>
      </c>
      <c r="D80" s="83">
        <v>1</v>
      </c>
      <c r="E80" s="804">
        <v>4850699991</v>
      </c>
      <c r="F80" s="804">
        <v>4666679086.47</v>
      </c>
      <c r="G80" s="95">
        <f>(+F80/E80)*100</f>
        <v>96.20630208276265</v>
      </c>
      <c r="H80" s="90">
        <f>(G80*D80)</f>
        <v>96.20630208276265</v>
      </c>
      <c r="I80" s="90">
        <v>21336200000</v>
      </c>
      <c r="J80" s="90">
        <v>21274684903</v>
      </c>
      <c r="K80" s="95">
        <f>(+J80/I80)*100</f>
        <v>99.71168672490884</v>
      </c>
      <c r="L80" s="91">
        <f>(K80*D80)</f>
        <v>99.71168672490884</v>
      </c>
    </row>
    <row r="81" spans="2:13" ht="13.5" thickBot="1">
      <c r="B81" s="865"/>
      <c r="C81" s="798" t="s">
        <v>12</v>
      </c>
      <c r="D81" s="799">
        <f>SUM(D80:D80)</f>
        <v>1</v>
      </c>
      <c r="E81" s="807">
        <v>4850699991</v>
      </c>
      <c r="F81" s="807">
        <v>4666679086.47</v>
      </c>
      <c r="G81" s="800">
        <f>(+F81/E81)*100</f>
        <v>96.20630208276265</v>
      </c>
      <c r="H81" s="801">
        <f>SUM(H80:H80)</f>
        <v>96.20630208276265</v>
      </c>
      <c r="I81" s="798">
        <v>21336200000</v>
      </c>
      <c r="J81" s="798">
        <v>21274684903</v>
      </c>
      <c r="K81" s="800">
        <f>(+J81/I81)*100</f>
        <v>99.71168672490884</v>
      </c>
      <c r="L81" s="802">
        <f>SUM(L80:L80)</f>
        <v>99.71168672490884</v>
      </c>
      <c r="M81" s="714" t="s">
        <v>990</v>
      </c>
    </row>
    <row r="109" ht="12.75">
      <c r="L109" s="513"/>
    </row>
    <row r="110" ht="12.75">
      <c r="L110" s="513"/>
    </row>
    <row r="111" ht="12.75">
      <c r="L111" s="513"/>
    </row>
    <row r="112" ht="12.75">
      <c r="L112" s="513"/>
    </row>
    <row r="113" ht="12.75">
      <c r="L113" s="513"/>
    </row>
    <row r="114" ht="12.75">
      <c r="L114" s="513"/>
    </row>
    <row r="121" spans="5:9" ht="12.75">
      <c r="E121" s="1"/>
      <c r="F121" s="1"/>
      <c r="G121" s="70"/>
      <c r="H121" s="70"/>
      <c r="I121" s="58"/>
    </row>
    <row r="122" spans="5:8" ht="12.75">
      <c r="E122" s="1"/>
      <c r="F122" s="1"/>
      <c r="G122" s="1"/>
      <c r="H122" s="1"/>
    </row>
  </sheetData>
  <sheetProtection/>
  <mergeCells count="18">
    <mergeCell ref="B3:L3"/>
    <mergeCell ref="B4:L4"/>
    <mergeCell ref="B5:L5"/>
    <mergeCell ref="B6:L6"/>
    <mergeCell ref="B9:B12"/>
    <mergeCell ref="B72:B74"/>
    <mergeCell ref="B14:B17"/>
    <mergeCell ref="B20:B22"/>
    <mergeCell ref="B24:B26"/>
    <mergeCell ref="B29:B33"/>
    <mergeCell ref="B35:B39"/>
    <mergeCell ref="B42:B44"/>
    <mergeCell ref="B80:B81"/>
    <mergeCell ref="B51:B57"/>
    <mergeCell ref="B46:B48"/>
    <mergeCell ref="B59:B65"/>
    <mergeCell ref="B68:B70"/>
    <mergeCell ref="B77:B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8" r:id="rId3"/>
  <rowBreaks count="3" manualBreakCount="3">
    <brk id="26" min="1" max="11" man="1"/>
    <brk id="48" min="1" max="11" man="1"/>
    <brk id="65" min="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8"/>
  <sheetViews>
    <sheetView view="pageBreakPreview" zoomScale="70" zoomScaleNormal="70" zoomScaleSheetLayoutView="70" zoomScalePageLayoutView="0" workbookViewId="0" topLeftCell="A1">
      <selection activeCell="B2" sqref="B2:T75"/>
    </sheetView>
  </sheetViews>
  <sheetFormatPr defaultColWidth="11.421875" defaultRowHeight="12.75"/>
  <cols>
    <col min="1" max="1" width="4.00390625" style="0" customWidth="1"/>
    <col min="2" max="2" width="31.140625" style="0" customWidth="1"/>
    <col min="3" max="3" width="69.7109375" style="0" customWidth="1"/>
    <col min="4" max="4" width="15.421875" style="0" customWidth="1"/>
    <col min="5" max="5" width="62.421875" style="0" customWidth="1"/>
    <col min="6" max="6" width="7.00390625" style="0" customWidth="1"/>
    <col min="7" max="7" width="7.8515625" style="0" customWidth="1"/>
    <col min="8" max="8" width="7.7109375" style="0" customWidth="1"/>
    <col min="9" max="9" width="6.7109375" style="0" customWidth="1"/>
    <col min="10" max="10" width="8.421875" style="0" customWidth="1"/>
    <col min="11" max="11" width="9.00390625" style="0" customWidth="1"/>
    <col min="12" max="12" width="7.00390625" style="0" customWidth="1"/>
    <col min="13" max="13" width="8.57421875" style="0" customWidth="1"/>
    <col min="14" max="14" width="4.57421875" style="0" customWidth="1"/>
    <col min="15" max="15" width="7.57421875" style="0" customWidth="1"/>
    <col min="16" max="16" width="7.8515625" style="0" customWidth="1"/>
    <col min="17" max="17" width="5.00390625" style="0" customWidth="1"/>
    <col min="18" max="18" width="4.140625" style="0" customWidth="1"/>
    <col min="19" max="19" width="7.00390625" style="0" customWidth="1"/>
    <col min="20" max="20" width="9.140625" style="0" customWidth="1"/>
    <col min="21" max="21" width="17.140625" style="0" customWidth="1"/>
    <col min="22" max="22" width="18.7109375" style="0" customWidth="1"/>
  </cols>
  <sheetData>
    <row r="1" ht="18.75" customHeight="1" thickBot="1"/>
    <row r="2" spans="2:20" ht="34.5" customHeight="1" thickBot="1">
      <c r="B2" s="874" t="s">
        <v>646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6"/>
    </row>
    <row r="3" spans="2:20" ht="22.5" customHeight="1" thickBot="1">
      <c r="B3" s="874" t="s">
        <v>968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6"/>
    </row>
    <row r="4" spans="1:20" ht="35.25" customHeight="1" thickBot="1">
      <c r="A4" s="2"/>
      <c r="B4" s="923" t="s">
        <v>655</v>
      </c>
      <c r="C4" s="874" t="s">
        <v>541</v>
      </c>
      <c r="D4" s="875"/>
      <c r="E4" s="875"/>
      <c r="F4" s="875"/>
      <c r="G4" s="875"/>
      <c r="H4" s="875"/>
      <c r="I4" s="875"/>
      <c r="J4" s="875"/>
      <c r="K4" s="915"/>
      <c r="L4" s="915"/>
      <c r="M4" s="915"/>
      <c r="N4" s="874" t="s">
        <v>542</v>
      </c>
      <c r="O4" s="875"/>
      <c r="P4" s="875"/>
      <c r="Q4" s="875"/>
      <c r="R4" s="875"/>
      <c r="S4" s="875"/>
      <c r="T4" s="920" t="s">
        <v>269</v>
      </c>
    </row>
    <row r="5" spans="1:20" ht="370.5" customHeight="1" thickBot="1">
      <c r="A5" s="2"/>
      <c r="B5" s="924"/>
      <c r="C5" s="12" t="s">
        <v>439</v>
      </c>
      <c r="D5" s="13" t="s">
        <v>461</v>
      </c>
      <c r="E5" s="12" t="s">
        <v>3</v>
      </c>
      <c r="F5" s="14" t="s">
        <v>271</v>
      </c>
      <c r="G5" s="14" t="s">
        <v>272</v>
      </c>
      <c r="H5" s="15" t="s">
        <v>284</v>
      </c>
      <c r="I5" s="14" t="s">
        <v>979</v>
      </c>
      <c r="J5" s="14" t="s">
        <v>650</v>
      </c>
      <c r="K5" s="14" t="s">
        <v>286</v>
      </c>
      <c r="L5" s="16" t="s">
        <v>287</v>
      </c>
      <c r="M5" s="14" t="s">
        <v>288</v>
      </c>
      <c r="N5" s="14" t="s">
        <v>270</v>
      </c>
      <c r="O5" s="15" t="s">
        <v>289</v>
      </c>
      <c r="P5" s="14" t="s">
        <v>290</v>
      </c>
      <c r="Q5" s="14" t="s">
        <v>667</v>
      </c>
      <c r="R5" s="15" t="s">
        <v>291</v>
      </c>
      <c r="S5" s="16" t="s">
        <v>292</v>
      </c>
      <c r="T5" s="921"/>
    </row>
    <row r="6" spans="1:20" ht="18" customHeight="1" thickBot="1">
      <c r="A6" s="2"/>
      <c r="B6" s="911" t="s">
        <v>252</v>
      </c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3"/>
      <c r="N6" s="913"/>
      <c r="O6" s="913"/>
      <c r="P6" s="913"/>
      <c r="Q6" s="913"/>
      <c r="R6" s="913"/>
      <c r="S6" s="913"/>
      <c r="T6" s="914"/>
    </row>
    <row r="7" spans="2:20" ht="60.75" customHeight="1">
      <c r="B7" s="905" t="s">
        <v>142</v>
      </c>
      <c r="C7" s="214" t="s">
        <v>638</v>
      </c>
      <c r="D7" s="215" t="s">
        <v>262</v>
      </c>
      <c r="E7" s="216" t="s">
        <v>975</v>
      </c>
      <c r="F7" s="232">
        <v>1</v>
      </c>
      <c r="G7" s="232">
        <v>1</v>
      </c>
      <c r="H7" s="232">
        <f>(+G7/F7)*100</f>
        <v>100</v>
      </c>
      <c r="I7" s="217"/>
      <c r="J7" s="232">
        <v>1</v>
      </c>
      <c r="K7" s="232">
        <v>1</v>
      </c>
      <c r="L7" s="232">
        <f>(+K7/J7)*100</f>
        <v>100</v>
      </c>
      <c r="M7" s="916">
        <v>40</v>
      </c>
      <c r="N7" s="889">
        <v>100000000</v>
      </c>
      <c r="O7" s="889">
        <v>99397817</v>
      </c>
      <c r="P7" s="972">
        <f>(+O7/N7)*100</f>
        <v>99.397817</v>
      </c>
      <c r="Q7" s="889">
        <f>(20000000+200000000+100000000+100000000+N7)</f>
        <v>520000000</v>
      </c>
      <c r="R7" s="889">
        <f>(78607433+83197160+113615530+32828374+O7)</f>
        <v>407646314</v>
      </c>
      <c r="S7" s="941">
        <f>(+R7/Q7)*100</f>
        <v>78.39352192307693</v>
      </c>
      <c r="T7" s="631" t="s">
        <v>971</v>
      </c>
    </row>
    <row r="8" spans="2:20" ht="36" customHeight="1">
      <c r="B8" s="906"/>
      <c r="C8" s="219" t="s">
        <v>647</v>
      </c>
      <c r="D8" s="220" t="s">
        <v>265</v>
      </c>
      <c r="E8" s="219" t="s">
        <v>976</v>
      </c>
      <c r="F8" s="231">
        <v>10</v>
      </c>
      <c r="G8" s="299">
        <v>10</v>
      </c>
      <c r="H8" s="232">
        <f aca="true" t="shared" si="0" ref="H8:H14">(+G8/F8)*100</f>
        <v>100</v>
      </c>
      <c r="I8" s="222"/>
      <c r="J8" s="430">
        <v>10</v>
      </c>
      <c r="K8" s="430">
        <v>10</v>
      </c>
      <c r="L8" s="232">
        <f aca="true" t="shared" si="1" ref="L8:L14">(+K8/J8)*100</f>
        <v>100</v>
      </c>
      <c r="M8" s="916"/>
      <c r="N8" s="889"/>
      <c r="O8" s="889"/>
      <c r="P8" s="973"/>
      <c r="Q8" s="889"/>
      <c r="R8" s="889"/>
      <c r="S8" s="942"/>
      <c r="T8" s="141"/>
    </row>
    <row r="9" spans="2:20" ht="55.5" customHeight="1">
      <c r="B9" s="906"/>
      <c r="C9" s="219" t="s">
        <v>649</v>
      </c>
      <c r="D9" s="220" t="s">
        <v>265</v>
      </c>
      <c r="E9" s="219" t="s">
        <v>978</v>
      </c>
      <c r="F9" s="231">
        <v>10</v>
      </c>
      <c r="G9" s="299">
        <v>10</v>
      </c>
      <c r="H9" s="232">
        <f t="shared" si="0"/>
        <v>100</v>
      </c>
      <c r="I9" s="222"/>
      <c r="J9" s="430">
        <v>10</v>
      </c>
      <c r="K9" s="430">
        <v>10</v>
      </c>
      <c r="L9" s="232">
        <f t="shared" si="1"/>
        <v>100</v>
      </c>
      <c r="M9" s="916"/>
      <c r="N9" s="889"/>
      <c r="O9" s="889"/>
      <c r="P9" s="973"/>
      <c r="Q9" s="889"/>
      <c r="R9" s="889"/>
      <c r="S9" s="942"/>
      <c r="T9" s="141"/>
    </row>
    <row r="10" spans="2:20" ht="38.25" customHeight="1">
      <c r="B10" s="906"/>
      <c r="C10" s="219" t="s">
        <v>487</v>
      </c>
      <c r="D10" s="220" t="s">
        <v>262</v>
      </c>
      <c r="E10" s="966" t="s">
        <v>977</v>
      </c>
      <c r="F10" s="231">
        <v>1</v>
      </c>
      <c r="G10" s="299">
        <v>1</v>
      </c>
      <c r="H10" s="232">
        <f t="shared" si="0"/>
        <v>100</v>
      </c>
      <c r="I10" s="222"/>
      <c r="J10" s="430">
        <v>3</v>
      </c>
      <c r="K10" s="430">
        <v>3</v>
      </c>
      <c r="L10" s="232">
        <f t="shared" si="1"/>
        <v>100</v>
      </c>
      <c r="M10" s="916"/>
      <c r="N10" s="889"/>
      <c r="O10" s="889"/>
      <c r="P10" s="973"/>
      <c r="Q10" s="889"/>
      <c r="R10" s="889"/>
      <c r="S10" s="942"/>
      <c r="T10" s="108"/>
    </row>
    <row r="11" spans="2:20" ht="40.5" customHeight="1">
      <c r="B11" s="906"/>
      <c r="C11" s="219" t="s">
        <v>441</v>
      </c>
      <c r="D11" s="220" t="s">
        <v>265</v>
      </c>
      <c r="E11" s="967"/>
      <c r="F11" s="231">
        <v>100</v>
      </c>
      <c r="G11" s="299">
        <v>50</v>
      </c>
      <c r="H11" s="232">
        <f t="shared" si="0"/>
        <v>50</v>
      </c>
      <c r="I11" s="222"/>
      <c r="J11" s="430">
        <v>100</v>
      </c>
      <c r="K11" s="299">
        <v>50</v>
      </c>
      <c r="L11" s="232">
        <f t="shared" si="1"/>
        <v>50</v>
      </c>
      <c r="M11" s="916"/>
      <c r="N11" s="889"/>
      <c r="O11" s="889"/>
      <c r="P11" s="973"/>
      <c r="Q11" s="889"/>
      <c r="R11" s="889"/>
      <c r="S11" s="942"/>
      <c r="T11" s="108"/>
    </row>
    <row r="12" spans="2:20" ht="43.5" customHeight="1">
      <c r="B12" s="906"/>
      <c r="C12" s="219" t="s">
        <v>651</v>
      </c>
      <c r="D12" s="220" t="s">
        <v>262</v>
      </c>
      <c r="E12" s="219" t="s">
        <v>652</v>
      </c>
      <c r="F12" s="231">
        <v>1</v>
      </c>
      <c r="G12" s="299">
        <v>0.5</v>
      </c>
      <c r="H12" s="232">
        <f t="shared" si="0"/>
        <v>50</v>
      </c>
      <c r="I12" s="222"/>
      <c r="J12" s="430">
        <v>1</v>
      </c>
      <c r="K12" s="299">
        <v>0.5</v>
      </c>
      <c r="L12" s="232">
        <f t="shared" si="1"/>
        <v>50</v>
      </c>
      <c r="M12" s="916"/>
      <c r="N12" s="889"/>
      <c r="O12" s="889"/>
      <c r="P12" s="973"/>
      <c r="Q12" s="889"/>
      <c r="R12" s="889"/>
      <c r="S12" s="942"/>
      <c r="T12" s="108"/>
    </row>
    <row r="13" spans="2:20" ht="43.5" customHeight="1">
      <c r="B13" s="906"/>
      <c r="C13" s="219" t="s">
        <v>653</v>
      </c>
      <c r="D13" s="220" t="s">
        <v>262</v>
      </c>
      <c r="E13" s="219" t="s">
        <v>981</v>
      </c>
      <c r="F13" s="231">
        <v>1</v>
      </c>
      <c r="G13" s="299">
        <v>1</v>
      </c>
      <c r="H13" s="232">
        <f t="shared" si="0"/>
        <v>100</v>
      </c>
      <c r="I13" s="222"/>
      <c r="J13" s="430">
        <v>1</v>
      </c>
      <c r="K13" s="299">
        <v>1</v>
      </c>
      <c r="L13" s="232">
        <f t="shared" si="1"/>
        <v>100</v>
      </c>
      <c r="M13" s="916"/>
      <c r="N13" s="889"/>
      <c r="O13" s="889"/>
      <c r="P13" s="973"/>
      <c r="Q13" s="889"/>
      <c r="R13" s="889"/>
      <c r="S13" s="942"/>
      <c r="T13" s="108"/>
    </row>
    <row r="14" spans="2:20" ht="43.5" customHeight="1">
      <c r="B14" s="906"/>
      <c r="C14" s="224" t="s">
        <v>467</v>
      </c>
      <c r="D14" s="220" t="s">
        <v>262</v>
      </c>
      <c r="E14" s="219" t="s">
        <v>982</v>
      </c>
      <c r="F14" s="231">
        <v>1</v>
      </c>
      <c r="G14" s="299">
        <v>1</v>
      </c>
      <c r="H14" s="232">
        <f t="shared" si="0"/>
        <v>100</v>
      </c>
      <c r="I14" s="222"/>
      <c r="J14" s="430">
        <v>1</v>
      </c>
      <c r="K14" s="299">
        <v>1</v>
      </c>
      <c r="L14" s="232">
        <f t="shared" si="1"/>
        <v>100</v>
      </c>
      <c r="M14" s="916"/>
      <c r="N14" s="889"/>
      <c r="O14" s="889"/>
      <c r="P14" s="973"/>
      <c r="Q14" s="889"/>
      <c r="R14" s="889"/>
      <c r="S14" s="942"/>
      <c r="T14" s="108"/>
    </row>
    <row r="15" spans="2:20" ht="19.5" customHeight="1">
      <c r="B15" s="906"/>
      <c r="C15" s="155" t="s">
        <v>637</v>
      </c>
      <c r="D15" s="169" t="s">
        <v>262</v>
      </c>
      <c r="E15" s="961" t="s">
        <v>983</v>
      </c>
      <c r="F15" s="431" t="s">
        <v>56</v>
      </c>
      <c r="G15" s="432" t="s">
        <v>56</v>
      </c>
      <c r="H15" s="428" t="s">
        <v>56</v>
      </c>
      <c r="I15" s="140"/>
      <c r="J15" s="140">
        <v>1</v>
      </c>
      <c r="K15" s="167">
        <v>1</v>
      </c>
      <c r="L15" s="109">
        <v>100</v>
      </c>
      <c r="M15" s="916"/>
      <c r="N15" s="889"/>
      <c r="O15" s="889"/>
      <c r="P15" s="973"/>
      <c r="Q15" s="889"/>
      <c r="R15" s="889"/>
      <c r="S15" s="942"/>
      <c r="T15" s="108"/>
    </row>
    <row r="16" spans="2:20" ht="38.25" customHeight="1">
      <c r="B16" s="906"/>
      <c r="C16" s="155" t="s">
        <v>484</v>
      </c>
      <c r="D16" s="169" t="s">
        <v>262</v>
      </c>
      <c r="E16" s="961"/>
      <c r="F16" s="431" t="s">
        <v>56</v>
      </c>
      <c r="G16" s="432" t="s">
        <v>56</v>
      </c>
      <c r="H16" s="428" t="s">
        <v>56</v>
      </c>
      <c r="I16" s="140"/>
      <c r="J16" s="140">
        <v>2</v>
      </c>
      <c r="K16" s="115">
        <v>2</v>
      </c>
      <c r="L16" s="109">
        <v>100</v>
      </c>
      <c r="M16" s="916"/>
      <c r="N16" s="889"/>
      <c r="O16" s="889"/>
      <c r="P16" s="973"/>
      <c r="Q16" s="889"/>
      <c r="R16" s="889"/>
      <c r="S16" s="942"/>
      <c r="T16" s="108"/>
    </row>
    <row r="17" spans="2:22" ht="42.75" customHeight="1">
      <c r="B17" s="906"/>
      <c r="C17" s="107" t="s">
        <v>451</v>
      </c>
      <c r="D17" s="107" t="s">
        <v>260</v>
      </c>
      <c r="E17" s="107" t="s">
        <v>463</v>
      </c>
      <c r="F17" s="431" t="s">
        <v>56</v>
      </c>
      <c r="G17" s="432" t="s">
        <v>56</v>
      </c>
      <c r="H17" s="428" t="s">
        <v>56</v>
      </c>
      <c r="I17" s="115"/>
      <c r="J17" s="115">
        <v>1</v>
      </c>
      <c r="K17" s="115">
        <v>1</v>
      </c>
      <c r="L17" s="109">
        <f>(+K17/J17)*100</f>
        <v>100</v>
      </c>
      <c r="M17" s="916"/>
      <c r="N17" s="889"/>
      <c r="O17" s="889"/>
      <c r="P17" s="973"/>
      <c r="Q17" s="889"/>
      <c r="R17" s="889"/>
      <c r="S17" s="942"/>
      <c r="T17" s="108"/>
      <c r="U17">
        <v>520000000</v>
      </c>
      <c r="V17">
        <v>407646314</v>
      </c>
    </row>
    <row r="18" spans="2:20" ht="21.75" customHeight="1">
      <c r="B18" s="907"/>
      <c r="C18" s="107" t="s">
        <v>446</v>
      </c>
      <c r="D18" s="107" t="s">
        <v>264</v>
      </c>
      <c r="E18" s="965" t="s">
        <v>453</v>
      </c>
      <c r="F18" s="431" t="s">
        <v>56</v>
      </c>
      <c r="G18" s="432" t="s">
        <v>56</v>
      </c>
      <c r="H18" s="428" t="s">
        <v>56</v>
      </c>
      <c r="I18" s="115"/>
      <c r="J18" s="115">
        <v>1</v>
      </c>
      <c r="K18" s="115">
        <v>1</v>
      </c>
      <c r="L18" s="109">
        <f aca="true" t="shared" si="2" ref="L18:L27">(+K18/J18)*100</f>
        <v>100</v>
      </c>
      <c r="M18" s="917"/>
      <c r="N18" s="890"/>
      <c r="O18" s="890"/>
      <c r="P18" s="973"/>
      <c r="Q18" s="890"/>
      <c r="R18" s="890"/>
      <c r="S18" s="942"/>
      <c r="T18" s="111"/>
    </row>
    <row r="19" spans="2:20" ht="26.25" customHeight="1">
      <c r="B19" s="907"/>
      <c r="C19" s="107" t="s">
        <v>446</v>
      </c>
      <c r="D19" s="107" t="s">
        <v>260</v>
      </c>
      <c r="E19" s="965"/>
      <c r="F19" s="110" t="s">
        <v>56</v>
      </c>
      <c r="G19" s="87" t="s">
        <v>56</v>
      </c>
      <c r="H19" s="115" t="s">
        <v>56</v>
      </c>
      <c r="I19" s="115"/>
      <c r="J19" s="115">
        <v>14</v>
      </c>
      <c r="K19" s="115">
        <v>14</v>
      </c>
      <c r="L19" s="109">
        <f t="shared" si="2"/>
        <v>100</v>
      </c>
      <c r="M19" s="917"/>
      <c r="N19" s="890"/>
      <c r="O19" s="890"/>
      <c r="P19" s="973"/>
      <c r="Q19" s="890"/>
      <c r="R19" s="890"/>
      <c r="S19" s="942"/>
      <c r="T19" s="112"/>
    </row>
    <row r="20" spans="2:20" ht="53.25" customHeight="1">
      <c r="B20" s="907"/>
      <c r="C20" s="107" t="s">
        <v>446</v>
      </c>
      <c r="D20" s="107" t="s">
        <v>264</v>
      </c>
      <c r="E20" s="107" t="s">
        <v>263</v>
      </c>
      <c r="F20" s="110" t="s">
        <v>56</v>
      </c>
      <c r="G20" s="115" t="s">
        <v>56</v>
      </c>
      <c r="H20" s="115" t="s">
        <v>56</v>
      </c>
      <c r="I20" s="115"/>
      <c r="J20" s="168">
        <v>200000</v>
      </c>
      <c r="K20" s="168">
        <v>200000</v>
      </c>
      <c r="L20" s="109">
        <f t="shared" si="2"/>
        <v>100</v>
      </c>
      <c r="M20" s="917"/>
      <c r="N20" s="890"/>
      <c r="O20" s="890"/>
      <c r="P20" s="973"/>
      <c r="Q20" s="890"/>
      <c r="R20" s="890"/>
      <c r="S20" s="942"/>
      <c r="T20" s="111"/>
    </row>
    <row r="21" spans="2:20" ht="30.75" customHeight="1">
      <c r="B21" s="907"/>
      <c r="C21" s="107" t="s">
        <v>446</v>
      </c>
      <c r="D21" s="107" t="s">
        <v>260</v>
      </c>
      <c r="E21" s="107" t="s">
        <v>263</v>
      </c>
      <c r="F21" s="110" t="s">
        <v>56</v>
      </c>
      <c r="G21" s="115" t="s">
        <v>56</v>
      </c>
      <c r="H21" s="115" t="s">
        <v>56</v>
      </c>
      <c r="I21" s="115"/>
      <c r="J21" s="115">
        <v>14</v>
      </c>
      <c r="K21" s="115">
        <v>14</v>
      </c>
      <c r="L21" s="109">
        <f t="shared" si="2"/>
        <v>100</v>
      </c>
      <c r="M21" s="917"/>
      <c r="N21" s="890"/>
      <c r="O21" s="890"/>
      <c r="P21" s="973"/>
      <c r="Q21" s="890"/>
      <c r="R21" s="890"/>
      <c r="S21" s="942"/>
      <c r="T21" s="113"/>
    </row>
    <row r="22" spans="2:20" ht="21.75" customHeight="1">
      <c r="B22" s="907"/>
      <c r="C22" s="114" t="s">
        <v>444</v>
      </c>
      <c r="D22" s="107" t="s">
        <v>264</v>
      </c>
      <c r="E22" s="959" t="s">
        <v>455</v>
      </c>
      <c r="F22" s="925" t="s">
        <v>56</v>
      </c>
      <c r="G22" s="888" t="s">
        <v>56</v>
      </c>
      <c r="H22" s="888" t="s">
        <v>56</v>
      </c>
      <c r="I22" s="888"/>
      <c r="J22" s="922">
        <v>100000</v>
      </c>
      <c r="K22" s="910">
        <v>0</v>
      </c>
      <c r="L22" s="948">
        <f t="shared" si="2"/>
        <v>0</v>
      </c>
      <c r="M22" s="917"/>
      <c r="N22" s="890"/>
      <c r="O22" s="890"/>
      <c r="P22" s="973"/>
      <c r="Q22" s="890"/>
      <c r="R22" s="890"/>
      <c r="S22" s="942"/>
      <c r="T22" s="944"/>
    </row>
    <row r="23" spans="2:20" ht="25.5" customHeight="1">
      <c r="B23" s="907"/>
      <c r="C23" s="114" t="s">
        <v>444</v>
      </c>
      <c r="D23" s="107" t="s">
        <v>260</v>
      </c>
      <c r="E23" s="959"/>
      <c r="F23" s="925"/>
      <c r="G23" s="888"/>
      <c r="H23" s="888"/>
      <c r="I23" s="888"/>
      <c r="J23" s="922"/>
      <c r="K23" s="910"/>
      <c r="L23" s="948"/>
      <c r="M23" s="917"/>
      <c r="N23" s="890"/>
      <c r="O23" s="890"/>
      <c r="P23" s="973"/>
      <c r="Q23" s="890"/>
      <c r="R23" s="890"/>
      <c r="S23" s="942"/>
      <c r="T23" s="944"/>
    </row>
    <row r="24" spans="2:20" ht="18.75" customHeight="1">
      <c r="B24" s="907"/>
      <c r="C24" s="107" t="s">
        <v>447</v>
      </c>
      <c r="D24" s="107" t="s">
        <v>265</v>
      </c>
      <c r="E24" s="107" t="s">
        <v>266</v>
      </c>
      <c r="F24" s="925" t="s">
        <v>56</v>
      </c>
      <c r="G24" s="888" t="s">
        <v>56</v>
      </c>
      <c r="H24" s="888" t="s">
        <v>56</v>
      </c>
      <c r="I24" s="115"/>
      <c r="J24" s="115">
        <v>100</v>
      </c>
      <c r="K24" s="115">
        <v>100</v>
      </c>
      <c r="L24" s="109">
        <f>(+K24/J24)*100</f>
        <v>100</v>
      </c>
      <c r="M24" s="917"/>
      <c r="N24" s="890"/>
      <c r="O24" s="890"/>
      <c r="P24" s="973"/>
      <c r="Q24" s="890"/>
      <c r="R24" s="890"/>
      <c r="S24" s="942"/>
      <c r="T24" s="108"/>
    </row>
    <row r="25" spans="2:20" ht="36.75" customHeight="1">
      <c r="B25" s="907"/>
      <c r="C25" s="107" t="s">
        <v>456</v>
      </c>
      <c r="D25" s="107" t="s">
        <v>350</v>
      </c>
      <c r="E25" s="107" t="s">
        <v>267</v>
      </c>
      <c r="F25" s="925"/>
      <c r="G25" s="888"/>
      <c r="H25" s="888"/>
      <c r="I25" s="115"/>
      <c r="J25" s="115">
        <v>1</v>
      </c>
      <c r="K25" s="115">
        <v>1</v>
      </c>
      <c r="L25" s="109">
        <f t="shared" si="2"/>
        <v>100</v>
      </c>
      <c r="M25" s="917"/>
      <c r="N25" s="890"/>
      <c r="O25" s="890"/>
      <c r="P25" s="973"/>
      <c r="Q25" s="890"/>
      <c r="R25" s="890"/>
      <c r="S25" s="942"/>
      <c r="T25" s="111"/>
    </row>
    <row r="26" spans="2:20" ht="27.75" customHeight="1">
      <c r="B26" s="908"/>
      <c r="C26" s="107" t="s">
        <v>462</v>
      </c>
      <c r="D26" s="107" t="s">
        <v>352</v>
      </c>
      <c r="E26" s="965" t="s">
        <v>457</v>
      </c>
      <c r="F26" s="110" t="s">
        <v>56</v>
      </c>
      <c r="G26" s="115" t="s">
        <v>56</v>
      </c>
      <c r="H26" s="115" t="s">
        <v>56</v>
      </c>
      <c r="I26" s="115"/>
      <c r="J26" s="115">
        <v>1</v>
      </c>
      <c r="K26" s="115">
        <v>1</v>
      </c>
      <c r="L26" s="109">
        <f t="shared" si="2"/>
        <v>100</v>
      </c>
      <c r="M26" s="918"/>
      <c r="N26" s="891"/>
      <c r="O26" s="891"/>
      <c r="P26" s="973"/>
      <c r="Q26" s="891"/>
      <c r="R26" s="891"/>
      <c r="S26" s="942"/>
      <c r="T26" s="111"/>
    </row>
    <row r="27" spans="2:20" ht="30" customHeight="1">
      <c r="B27" s="908"/>
      <c r="C27" s="107" t="s">
        <v>445</v>
      </c>
      <c r="D27" s="107" t="s">
        <v>353</v>
      </c>
      <c r="E27" s="965"/>
      <c r="F27" s="110" t="s">
        <v>56</v>
      </c>
      <c r="G27" s="115" t="s">
        <v>56</v>
      </c>
      <c r="H27" s="115" t="s">
        <v>56</v>
      </c>
      <c r="I27" s="115"/>
      <c r="J27" s="115">
        <v>1</v>
      </c>
      <c r="K27" s="115">
        <v>1</v>
      </c>
      <c r="L27" s="109">
        <f t="shared" si="2"/>
        <v>100</v>
      </c>
      <c r="M27" s="918"/>
      <c r="N27" s="891"/>
      <c r="O27" s="891"/>
      <c r="P27" s="973"/>
      <c r="Q27" s="891"/>
      <c r="R27" s="891"/>
      <c r="S27" s="942"/>
      <c r="T27" s="108"/>
    </row>
    <row r="28" spans="2:20" ht="33" customHeight="1">
      <c r="B28" s="908"/>
      <c r="C28" s="107" t="s">
        <v>458</v>
      </c>
      <c r="D28" s="107" t="s">
        <v>459</v>
      </c>
      <c r="E28" s="965"/>
      <c r="F28" s="110" t="s">
        <v>56</v>
      </c>
      <c r="G28" s="115" t="s">
        <v>56</v>
      </c>
      <c r="H28" s="115" t="s">
        <v>56</v>
      </c>
      <c r="I28" s="115"/>
      <c r="J28" s="115">
        <v>2</v>
      </c>
      <c r="K28" s="115">
        <v>2</v>
      </c>
      <c r="L28" s="109">
        <v>100</v>
      </c>
      <c r="M28" s="918"/>
      <c r="N28" s="891"/>
      <c r="O28" s="891"/>
      <c r="P28" s="973"/>
      <c r="Q28" s="891"/>
      <c r="R28" s="891"/>
      <c r="S28" s="942"/>
      <c r="T28" s="108"/>
    </row>
    <row r="29" spans="2:20" ht="30" customHeight="1" thickBot="1">
      <c r="B29" s="908"/>
      <c r="C29" s="116" t="s">
        <v>460</v>
      </c>
      <c r="D29" s="116" t="s">
        <v>262</v>
      </c>
      <c r="E29" s="116" t="s">
        <v>268</v>
      </c>
      <c r="F29" s="170" t="s">
        <v>56</v>
      </c>
      <c r="G29" s="117" t="s">
        <v>56</v>
      </c>
      <c r="H29" s="117" t="s">
        <v>56</v>
      </c>
      <c r="I29" s="117"/>
      <c r="J29" s="117">
        <v>1</v>
      </c>
      <c r="K29" s="117">
        <v>1</v>
      </c>
      <c r="L29" s="118">
        <f>(+K29/J29)*100</f>
        <v>100</v>
      </c>
      <c r="M29" s="918"/>
      <c r="N29" s="891"/>
      <c r="O29" s="891"/>
      <c r="P29" s="973"/>
      <c r="Q29" s="891"/>
      <c r="R29" s="891"/>
      <c r="S29" s="942"/>
      <c r="T29" s="111"/>
    </row>
    <row r="30" spans="2:20" ht="38.25" customHeight="1" thickBot="1">
      <c r="B30" s="909"/>
      <c r="C30" s="896" t="s">
        <v>654</v>
      </c>
      <c r="D30" s="897"/>
      <c r="E30" s="897"/>
      <c r="F30" s="171">
        <v>800</v>
      </c>
      <c r="G30" s="171"/>
      <c r="H30" s="171">
        <f>SUM(H7:H29)</f>
        <v>700</v>
      </c>
      <c r="I30" s="171">
        <f>(+H30/F30)*100</f>
        <v>87.5</v>
      </c>
      <c r="J30" s="171">
        <v>2200</v>
      </c>
      <c r="K30" s="171"/>
      <c r="L30" s="172">
        <f>SUM(L7:L29)</f>
        <v>2000</v>
      </c>
      <c r="M30" s="919"/>
      <c r="N30" s="892"/>
      <c r="O30" s="892"/>
      <c r="P30" s="974"/>
      <c r="Q30" s="892"/>
      <c r="R30" s="892"/>
      <c r="S30" s="943"/>
      <c r="T30" s="632">
        <f>(+L30/J30)*100</f>
        <v>90.9090909090909</v>
      </c>
    </row>
    <row r="31" spans="2:20" ht="31.5" customHeight="1" thickBot="1">
      <c r="B31" s="886" t="s">
        <v>660</v>
      </c>
      <c r="C31" s="895" t="s">
        <v>541</v>
      </c>
      <c r="D31" s="953"/>
      <c r="E31" s="953"/>
      <c r="F31" s="953"/>
      <c r="G31" s="953"/>
      <c r="H31" s="953"/>
      <c r="I31" s="953"/>
      <c r="J31" s="953"/>
      <c r="K31" s="953"/>
      <c r="L31" s="953"/>
      <c r="M31" s="954"/>
      <c r="N31" s="929" t="s">
        <v>542</v>
      </c>
      <c r="O31" s="930"/>
      <c r="P31" s="930"/>
      <c r="Q31" s="930"/>
      <c r="R31" s="930"/>
      <c r="S31" s="931"/>
      <c r="T31" s="927" t="s">
        <v>269</v>
      </c>
    </row>
    <row r="32" spans="2:20" ht="409.5" customHeight="1" thickBot="1">
      <c r="B32" s="887"/>
      <c r="C32" s="119" t="s">
        <v>439</v>
      </c>
      <c r="D32" s="120" t="s">
        <v>461</v>
      </c>
      <c r="E32" s="119" t="s">
        <v>450</v>
      </c>
      <c r="F32" s="121" t="s">
        <v>271</v>
      </c>
      <c r="G32" s="121" t="s">
        <v>272</v>
      </c>
      <c r="H32" s="122" t="s">
        <v>284</v>
      </c>
      <c r="I32" s="121" t="s">
        <v>285</v>
      </c>
      <c r="J32" s="121" t="s">
        <v>482</v>
      </c>
      <c r="K32" s="121" t="s">
        <v>286</v>
      </c>
      <c r="L32" s="123" t="s">
        <v>287</v>
      </c>
      <c r="M32" s="121" t="s">
        <v>288</v>
      </c>
      <c r="N32" s="121" t="s">
        <v>270</v>
      </c>
      <c r="O32" s="122" t="s">
        <v>289</v>
      </c>
      <c r="P32" s="121" t="s">
        <v>290</v>
      </c>
      <c r="Q32" s="121" t="s">
        <v>488</v>
      </c>
      <c r="R32" s="122" t="s">
        <v>291</v>
      </c>
      <c r="S32" s="123" t="s">
        <v>292</v>
      </c>
      <c r="T32" s="928"/>
    </row>
    <row r="33" spans="2:20" ht="19.5" customHeight="1" thickBot="1">
      <c r="B33" s="968" t="s">
        <v>252</v>
      </c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900"/>
    </row>
    <row r="34" spans="2:20" ht="54.75" customHeight="1">
      <c r="B34" s="893" t="s">
        <v>373</v>
      </c>
      <c r="C34" s="194" t="s">
        <v>647</v>
      </c>
      <c r="D34" s="195" t="s">
        <v>265</v>
      </c>
      <c r="E34" s="194" t="s">
        <v>988</v>
      </c>
      <c r="F34" s="429">
        <v>10</v>
      </c>
      <c r="G34" s="429">
        <v>10</v>
      </c>
      <c r="H34" s="429">
        <f>(+G34/F34)*100</f>
        <v>100</v>
      </c>
      <c r="I34" s="196"/>
      <c r="J34" s="429">
        <v>10</v>
      </c>
      <c r="K34" s="429">
        <v>10</v>
      </c>
      <c r="L34" s="429">
        <f>(+K34/J34)*100</f>
        <v>100</v>
      </c>
      <c r="M34" s="949">
        <v>30</v>
      </c>
      <c r="N34" s="938">
        <v>100000000</v>
      </c>
      <c r="O34" s="938">
        <v>97197652</v>
      </c>
      <c r="P34" s="935">
        <f>(+O34/N34)*100</f>
        <v>97.197652</v>
      </c>
      <c r="Q34" s="932">
        <f>(500000000+100000000+20080000+100000000+N34)</f>
        <v>820080000</v>
      </c>
      <c r="R34" s="932">
        <f>(22629639+54546759+334940103+O34)</f>
        <v>509314153</v>
      </c>
      <c r="S34" s="969">
        <f>(+R34/Q34)*100</f>
        <v>62.10542300751146</v>
      </c>
      <c r="T34" s="124"/>
    </row>
    <row r="35" spans="2:20" ht="54.75" customHeight="1">
      <c r="B35" s="894"/>
      <c r="C35" s="193" t="s">
        <v>649</v>
      </c>
      <c r="D35" s="197" t="s">
        <v>265</v>
      </c>
      <c r="E35" s="193" t="s">
        <v>984</v>
      </c>
      <c r="F35" s="198">
        <v>10</v>
      </c>
      <c r="G35" s="199">
        <v>10</v>
      </c>
      <c r="H35" s="429">
        <f aca="true" t="shared" si="3" ref="H35:H42">(+G35/F35)*100</f>
        <v>100</v>
      </c>
      <c r="I35" s="199"/>
      <c r="J35" s="199">
        <v>10</v>
      </c>
      <c r="K35" s="429">
        <v>10</v>
      </c>
      <c r="L35" s="429">
        <f aca="true" t="shared" si="4" ref="L35:L42">(+K35/J35)*100</f>
        <v>100</v>
      </c>
      <c r="M35" s="950"/>
      <c r="N35" s="939"/>
      <c r="O35" s="939"/>
      <c r="P35" s="936"/>
      <c r="Q35" s="933"/>
      <c r="R35" s="933"/>
      <c r="S35" s="970"/>
      <c r="T35" s="111"/>
    </row>
    <row r="36" spans="2:20" ht="41.25" customHeight="1">
      <c r="B36" s="894"/>
      <c r="C36" s="193" t="s">
        <v>489</v>
      </c>
      <c r="D36" s="197" t="s">
        <v>262</v>
      </c>
      <c r="E36" s="193" t="s">
        <v>985</v>
      </c>
      <c r="F36" s="198">
        <v>1</v>
      </c>
      <c r="G36" s="199">
        <v>1</v>
      </c>
      <c r="H36" s="429">
        <f t="shared" si="3"/>
        <v>100</v>
      </c>
      <c r="I36" s="199"/>
      <c r="J36" s="199">
        <v>3</v>
      </c>
      <c r="K36" s="429">
        <v>3</v>
      </c>
      <c r="L36" s="429">
        <f t="shared" si="4"/>
        <v>100</v>
      </c>
      <c r="M36" s="950"/>
      <c r="N36" s="939"/>
      <c r="O36" s="939"/>
      <c r="P36" s="936"/>
      <c r="Q36" s="933"/>
      <c r="R36" s="933"/>
      <c r="S36" s="970"/>
      <c r="T36" s="111"/>
    </row>
    <row r="37" spans="2:20" ht="41.25" customHeight="1">
      <c r="B37" s="894"/>
      <c r="C37" s="200" t="s">
        <v>467</v>
      </c>
      <c r="D37" s="197" t="s">
        <v>262</v>
      </c>
      <c r="E37" s="193" t="s">
        <v>986</v>
      </c>
      <c r="F37" s="198">
        <v>1</v>
      </c>
      <c r="G37" s="199">
        <v>1</v>
      </c>
      <c r="H37" s="429">
        <f t="shared" si="3"/>
        <v>100</v>
      </c>
      <c r="I37" s="199"/>
      <c r="J37" s="199">
        <v>4</v>
      </c>
      <c r="K37" s="429">
        <v>4</v>
      </c>
      <c r="L37" s="429">
        <f t="shared" si="4"/>
        <v>100</v>
      </c>
      <c r="M37" s="950"/>
      <c r="N37" s="939"/>
      <c r="O37" s="939"/>
      <c r="P37" s="936"/>
      <c r="Q37" s="933"/>
      <c r="R37" s="933"/>
      <c r="S37" s="970"/>
      <c r="T37" s="111"/>
    </row>
    <row r="38" spans="2:20" ht="39" customHeight="1">
      <c r="B38" s="894"/>
      <c r="C38" s="193" t="s">
        <v>441</v>
      </c>
      <c r="D38" s="197" t="s">
        <v>265</v>
      </c>
      <c r="E38" s="193" t="s">
        <v>985</v>
      </c>
      <c r="F38" s="198">
        <v>100</v>
      </c>
      <c r="G38" s="199">
        <v>100</v>
      </c>
      <c r="H38" s="429">
        <f t="shared" si="3"/>
        <v>100</v>
      </c>
      <c r="I38" s="199"/>
      <c r="J38" s="199">
        <v>100</v>
      </c>
      <c r="K38" s="199">
        <v>100</v>
      </c>
      <c r="L38" s="429">
        <f t="shared" si="4"/>
        <v>100</v>
      </c>
      <c r="M38" s="950"/>
      <c r="N38" s="939"/>
      <c r="O38" s="939"/>
      <c r="P38" s="936"/>
      <c r="Q38" s="933"/>
      <c r="R38" s="933"/>
      <c r="S38" s="970"/>
      <c r="T38" s="111"/>
    </row>
    <row r="39" spans="2:20" ht="36" customHeight="1">
      <c r="B39" s="894"/>
      <c r="C39" s="193" t="s">
        <v>656</v>
      </c>
      <c r="D39" s="197" t="s">
        <v>262</v>
      </c>
      <c r="E39" s="193" t="s">
        <v>648</v>
      </c>
      <c r="F39" s="198">
        <v>1</v>
      </c>
      <c r="G39" s="199">
        <v>0.2</v>
      </c>
      <c r="H39" s="429">
        <f t="shared" si="3"/>
        <v>20</v>
      </c>
      <c r="I39" s="199"/>
      <c r="J39" s="199">
        <v>1</v>
      </c>
      <c r="K39" s="199">
        <v>0.2</v>
      </c>
      <c r="L39" s="429">
        <f t="shared" si="4"/>
        <v>20</v>
      </c>
      <c r="M39" s="950"/>
      <c r="N39" s="939"/>
      <c r="O39" s="939"/>
      <c r="P39" s="936"/>
      <c r="Q39" s="933"/>
      <c r="R39" s="933"/>
      <c r="S39" s="970"/>
      <c r="T39" s="111"/>
    </row>
    <row r="40" spans="2:20" ht="23.25" customHeight="1">
      <c r="B40" s="894"/>
      <c r="C40" s="193" t="s">
        <v>658</v>
      </c>
      <c r="D40" s="197" t="s">
        <v>262</v>
      </c>
      <c r="E40" s="962" t="s">
        <v>987</v>
      </c>
      <c r="F40" s="198">
        <v>1</v>
      </c>
      <c r="G40" s="199">
        <v>0.2</v>
      </c>
      <c r="H40" s="429">
        <f t="shared" si="3"/>
        <v>20</v>
      </c>
      <c r="I40" s="199"/>
      <c r="J40" s="199">
        <v>1</v>
      </c>
      <c r="K40" s="199">
        <v>0.2</v>
      </c>
      <c r="L40" s="429">
        <f t="shared" si="4"/>
        <v>20</v>
      </c>
      <c r="M40" s="950"/>
      <c r="N40" s="939"/>
      <c r="O40" s="939"/>
      <c r="P40" s="936"/>
      <c r="Q40" s="933"/>
      <c r="R40" s="933"/>
      <c r="S40" s="970"/>
      <c r="T40" s="111"/>
    </row>
    <row r="41" spans="2:20" ht="38.25" customHeight="1">
      <c r="B41" s="894"/>
      <c r="C41" s="200" t="s">
        <v>657</v>
      </c>
      <c r="D41" s="197" t="s">
        <v>262</v>
      </c>
      <c r="E41" s="963"/>
      <c r="F41" s="198">
        <v>1</v>
      </c>
      <c r="G41" s="199">
        <v>1</v>
      </c>
      <c r="H41" s="429">
        <f t="shared" si="3"/>
        <v>100</v>
      </c>
      <c r="I41" s="199"/>
      <c r="J41" s="199">
        <v>1</v>
      </c>
      <c r="K41" s="199">
        <v>1</v>
      </c>
      <c r="L41" s="429">
        <f t="shared" si="4"/>
        <v>100</v>
      </c>
      <c r="M41" s="950"/>
      <c r="N41" s="939"/>
      <c r="O41" s="939"/>
      <c r="P41" s="936"/>
      <c r="Q41" s="933"/>
      <c r="R41" s="933"/>
      <c r="S41" s="970"/>
      <c r="T41" s="111"/>
    </row>
    <row r="42" spans="2:20" ht="36.75" customHeight="1">
      <c r="B42" s="894"/>
      <c r="C42" s="193" t="s">
        <v>638</v>
      </c>
      <c r="D42" s="197" t="s">
        <v>262</v>
      </c>
      <c r="E42" s="964"/>
      <c r="F42" s="198">
        <v>1</v>
      </c>
      <c r="G42" s="199">
        <v>1</v>
      </c>
      <c r="H42" s="429">
        <f t="shared" si="3"/>
        <v>100</v>
      </c>
      <c r="I42" s="199"/>
      <c r="J42" s="199">
        <v>1</v>
      </c>
      <c r="K42" s="199">
        <v>1</v>
      </c>
      <c r="L42" s="429">
        <f t="shared" si="4"/>
        <v>100</v>
      </c>
      <c r="M42" s="950"/>
      <c r="N42" s="939"/>
      <c r="O42" s="939"/>
      <c r="P42" s="936"/>
      <c r="Q42" s="933"/>
      <c r="R42" s="933"/>
      <c r="S42" s="970"/>
      <c r="T42" s="573">
        <v>0.9</v>
      </c>
    </row>
    <row r="43" spans="2:20" ht="37.5" customHeight="1">
      <c r="B43" s="894"/>
      <c r="C43" s="163" t="s">
        <v>637</v>
      </c>
      <c r="D43" s="145" t="s">
        <v>262</v>
      </c>
      <c r="E43" s="163" t="s">
        <v>483</v>
      </c>
      <c r="F43" s="110" t="s">
        <v>56</v>
      </c>
      <c r="G43" s="115" t="s">
        <v>56</v>
      </c>
      <c r="H43" s="115" t="s">
        <v>56</v>
      </c>
      <c r="I43" s="115"/>
      <c r="J43" s="115">
        <v>1</v>
      </c>
      <c r="K43" s="115">
        <v>1</v>
      </c>
      <c r="L43" s="109">
        <v>100</v>
      </c>
      <c r="M43" s="950"/>
      <c r="N43" s="939"/>
      <c r="O43" s="939"/>
      <c r="P43" s="936"/>
      <c r="Q43" s="933"/>
      <c r="R43" s="933"/>
      <c r="S43" s="970"/>
      <c r="T43" s="111"/>
    </row>
    <row r="44" spans="2:22" ht="38.25" customHeight="1">
      <c r="B44" s="894"/>
      <c r="C44" s="163" t="s">
        <v>490</v>
      </c>
      <c r="D44" s="145" t="s">
        <v>262</v>
      </c>
      <c r="E44" s="959" t="s">
        <v>454</v>
      </c>
      <c r="F44" s="110" t="s">
        <v>56</v>
      </c>
      <c r="G44" s="115" t="s">
        <v>56</v>
      </c>
      <c r="H44" s="115" t="s">
        <v>56</v>
      </c>
      <c r="I44" s="115"/>
      <c r="J44" s="115">
        <v>1</v>
      </c>
      <c r="K44" s="115">
        <v>1</v>
      </c>
      <c r="L44" s="109">
        <v>100</v>
      </c>
      <c r="M44" s="950"/>
      <c r="N44" s="939"/>
      <c r="O44" s="939"/>
      <c r="P44" s="936"/>
      <c r="Q44" s="933"/>
      <c r="R44" s="933"/>
      <c r="S44" s="970"/>
      <c r="T44" s="108"/>
      <c r="U44" s="634">
        <v>520000000</v>
      </c>
      <c r="V44" s="634">
        <v>407646314</v>
      </c>
    </row>
    <row r="45" spans="2:22" ht="20.25" customHeight="1">
      <c r="B45" s="894"/>
      <c r="C45" s="145" t="s">
        <v>448</v>
      </c>
      <c r="D45" s="145"/>
      <c r="E45" s="959"/>
      <c r="F45" s="110" t="s">
        <v>56</v>
      </c>
      <c r="G45" s="115" t="s">
        <v>56</v>
      </c>
      <c r="H45" s="115" t="s">
        <v>56</v>
      </c>
      <c r="I45" s="115"/>
      <c r="J45" s="115">
        <v>1</v>
      </c>
      <c r="K45" s="115">
        <v>1</v>
      </c>
      <c r="L45" s="109">
        <v>100</v>
      </c>
      <c r="M45" s="950"/>
      <c r="N45" s="939"/>
      <c r="O45" s="939"/>
      <c r="P45" s="936"/>
      <c r="Q45" s="933"/>
      <c r="R45" s="933"/>
      <c r="S45" s="970"/>
      <c r="T45" s="111"/>
      <c r="U45" s="634">
        <v>820080000</v>
      </c>
      <c r="V45" s="634">
        <v>509314153</v>
      </c>
    </row>
    <row r="46" spans="2:22" ht="27" customHeight="1">
      <c r="B46" s="894"/>
      <c r="C46" s="145" t="s">
        <v>440</v>
      </c>
      <c r="D46" s="145" t="s">
        <v>264</v>
      </c>
      <c r="E46" s="959"/>
      <c r="F46" s="110" t="s">
        <v>56</v>
      </c>
      <c r="G46" s="115" t="s">
        <v>56</v>
      </c>
      <c r="H46" s="115" t="s">
        <v>56</v>
      </c>
      <c r="I46" s="166"/>
      <c r="J46" s="115">
        <v>50000</v>
      </c>
      <c r="K46" s="115">
        <v>50000</v>
      </c>
      <c r="L46" s="109">
        <v>100</v>
      </c>
      <c r="M46" s="950"/>
      <c r="N46" s="939"/>
      <c r="O46" s="939"/>
      <c r="P46" s="936"/>
      <c r="Q46" s="933"/>
      <c r="R46" s="933"/>
      <c r="S46" s="970"/>
      <c r="T46" s="125"/>
      <c r="U46" s="634">
        <v>669000000</v>
      </c>
      <c r="V46" s="634">
        <v>351384699</v>
      </c>
    </row>
    <row r="47" spans="2:20" ht="30">
      <c r="B47" s="894"/>
      <c r="C47" s="145" t="s">
        <v>441</v>
      </c>
      <c r="D47" s="145" t="s">
        <v>262</v>
      </c>
      <c r="E47" s="959"/>
      <c r="F47" s="110" t="s">
        <v>56</v>
      </c>
      <c r="G47" s="115" t="s">
        <v>56</v>
      </c>
      <c r="H47" s="115" t="s">
        <v>56</v>
      </c>
      <c r="I47" s="166"/>
      <c r="J47" s="115">
        <v>1</v>
      </c>
      <c r="K47" s="115">
        <v>1</v>
      </c>
      <c r="L47" s="109">
        <v>100</v>
      </c>
      <c r="M47" s="950"/>
      <c r="N47" s="939"/>
      <c r="O47" s="939"/>
      <c r="P47" s="936"/>
      <c r="Q47" s="933"/>
      <c r="R47" s="933"/>
      <c r="S47" s="970"/>
      <c r="T47" s="125"/>
    </row>
    <row r="48" spans="2:20" ht="30">
      <c r="B48" s="894"/>
      <c r="C48" s="145" t="s">
        <v>442</v>
      </c>
      <c r="D48" s="145" t="s">
        <v>262</v>
      </c>
      <c r="E48" s="959"/>
      <c r="F48" s="110" t="s">
        <v>56</v>
      </c>
      <c r="G48" s="115" t="s">
        <v>56</v>
      </c>
      <c r="H48" s="115" t="s">
        <v>56</v>
      </c>
      <c r="I48" s="115"/>
      <c r="J48" s="115">
        <v>1</v>
      </c>
      <c r="K48" s="115">
        <v>1</v>
      </c>
      <c r="L48" s="109">
        <v>100</v>
      </c>
      <c r="M48" s="950"/>
      <c r="N48" s="939"/>
      <c r="O48" s="939"/>
      <c r="P48" s="936"/>
      <c r="Q48" s="933"/>
      <c r="R48" s="933"/>
      <c r="S48" s="970"/>
      <c r="T48" s="125"/>
    </row>
    <row r="49" spans="2:20" ht="30">
      <c r="B49" s="894"/>
      <c r="C49" s="126" t="s">
        <v>465</v>
      </c>
      <c r="D49" s="145" t="s">
        <v>264</v>
      </c>
      <c r="E49" s="145" t="s">
        <v>472</v>
      </c>
      <c r="F49" s="110" t="s">
        <v>56</v>
      </c>
      <c r="G49" s="115" t="s">
        <v>56</v>
      </c>
      <c r="H49" s="115" t="s">
        <v>56</v>
      </c>
      <c r="I49" s="115"/>
      <c r="J49" s="115">
        <v>3</v>
      </c>
      <c r="K49" s="115">
        <v>3</v>
      </c>
      <c r="L49" s="109">
        <f>(+K49/J49)*100</f>
        <v>100</v>
      </c>
      <c r="M49" s="950"/>
      <c r="N49" s="939"/>
      <c r="O49" s="939"/>
      <c r="P49" s="936"/>
      <c r="Q49" s="933"/>
      <c r="R49" s="933"/>
      <c r="S49" s="970"/>
      <c r="T49" s="108"/>
    </row>
    <row r="50" spans="2:20" ht="30">
      <c r="B50" s="894"/>
      <c r="C50" s="126" t="s">
        <v>443</v>
      </c>
      <c r="D50" s="145" t="s">
        <v>468</v>
      </c>
      <c r="E50" s="145"/>
      <c r="F50" s="110" t="s">
        <v>56</v>
      </c>
      <c r="G50" s="115" t="s">
        <v>56</v>
      </c>
      <c r="H50" s="115" t="s">
        <v>56</v>
      </c>
      <c r="I50" s="115"/>
      <c r="J50" s="115">
        <v>1</v>
      </c>
      <c r="K50" s="115">
        <v>1</v>
      </c>
      <c r="L50" s="109">
        <f>(+K50/J50)*100</f>
        <v>100</v>
      </c>
      <c r="M50" s="950"/>
      <c r="N50" s="939"/>
      <c r="O50" s="939"/>
      <c r="P50" s="936"/>
      <c r="Q50" s="933"/>
      <c r="R50" s="933"/>
      <c r="S50" s="970"/>
      <c r="T50" s="111"/>
    </row>
    <row r="51" spans="2:20" ht="19.5" customHeight="1">
      <c r="B51" s="894"/>
      <c r="C51" s="901" t="s">
        <v>444</v>
      </c>
      <c r="D51" s="145" t="s">
        <v>264</v>
      </c>
      <c r="E51" s="902" t="s">
        <v>455</v>
      </c>
      <c r="F51" s="925" t="s">
        <v>56</v>
      </c>
      <c r="G51" s="888" t="s">
        <v>56</v>
      </c>
      <c r="H51" s="888" t="s">
        <v>56</v>
      </c>
      <c r="I51" s="888"/>
      <c r="J51" s="975">
        <v>100000</v>
      </c>
      <c r="K51" s="910">
        <v>0</v>
      </c>
      <c r="L51" s="948">
        <v>0</v>
      </c>
      <c r="M51" s="950"/>
      <c r="N51" s="939"/>
      <c r="O51" s="939"/>
      <c r="P51" s="936"/>
      <c r="Q51" s="933"/>
      <c r="R51" s="933"/>
      <c r="S51" s="970"/>
      <c r="T51" s="112"/>
    </row>
    <row r="52" spans="2:20" ht="17.25" customHeight="1">
      <c r="B52" s="894"/>
      <c r="C52" s="901"/>
      <c r="D52" s="145" t="s">
        <v>260</v>
      </c>
      <c r="E52" s="902"/>
      <c r="F52" s="925"/>
      <c r="G52" s="888"/>
      <c r="H52" s="888"/>
      <c r="I52" s="888"/>
      <c r="J52" s="976"/>
      <c r="K52" s="910"/>
      <c r="L52" s="948"/>
      <c r="M52" s="950"/>
      <c r="N52" s="939"/>
      <c r="O52" s="939"/>
      <c r="P52" s="936"/>
      <c r="Q52" s="933"/>
      <c r="R52" s="933"/>
      <c r="S52" s="970"/>
      <c r="T52" s="112"/>
    </row>
    <row r="53" spans="2:20" ht="37.5" customHeight="1">
      <c r="B53" s="894"/>
      <c r="C53" s="126" t="s">
        <v>449</v>
      </c>
      <c r="D53" s="145" t="s">
        <v>351</v>
      </c>
      <c r="E53" s="145" t="s">
        <v>469</v>
      </c>
      <c r="F53" s="173" t="s">
        <v>56</v>
      </c>
      <c r="G53" s="115" t="s">
        <v>56</v>
      </c>
      <c r="H53" s="115" t="s">
        <v>56</v>
      </c>
      <c r="I53" s="115"/>
      <c r="J53" s="115">
        <v>1</v>
      </c>
      <c r="K53" s="115">
        <v>1</v>
      </c>
      <c r="L53" s="109">
        <v>100</v>
      </c>
      <c r="M53" s="950"/>
      <c r="N53" s="939"/>
      <c r="O53" s="939"/>
      <c r="P53" s="936"/>
      <c r="Q53" s="933"/>
      <c r="R53" s="933"/>
      <c r="S53" s="970"/>
      <c r="T53" s="111"/>
    </row>
    <row r="54" spans="2:20" ht="37.5" customHeight="1" thickBot="1">
      <c r="B54" s="894"/>
      <c r="C54" s="127" t="s">
        <v>470</v>
      </c>
      <c r="D54" s="128"/>
      <c r="E54" s="128" t="s">
        <v>471</v>
      </c>
      <c r="F54" s="174" t="s">
        <v>56</v>
      </c>
      <c r="G54" s="117" t="s">
        <v>56</v>
      </c>
      <c r="H54" s="117" t="s">
        <v>56</v>
      </c>
      <c r="I54" s="117"/>
      <c r="J54" s="117">
        <v>2</v>
      </c>
      <c r="K54" s="117">
        <v>2</v>
      </c>
      <c r="L54" s="118">
        <f>(+K54/J54)*100</f>
        <v>100</v>
      </c>
      <c r="M54" s="950"/>
      <c r="N54" s="939"/>
      <c r="O54" s="939"/>
      <c r="P54" s="936"/>
      <c r="Q54" s="933"/>
      <c r="R54" s="933"/>
      <c r="S54" s="970"/>
      <c r="T54" s="129"/>
    </row>
    <row r="55" spans="2:20" ht="30" customHeight="1" thickBot="1">
      <c r="B55" s="895"/>
      <c r="C55" s="903" t="s">
        <v>659</v>
      </c>
      <c r="D55" s="904"/>
      <c r="E55" s="904"/>
      <c r="F55" s="171">
        <v>900</v>
      </c>
      <c r="G55" s="171"/>
      <c r="H55" s="171">
        <f>SUM(H33:H54)</f>
        <v>740</v>
      </c>
      <c r="I55" s="171">
        <f>(+H55/F55)*100</f>
        <v>82.22222222222221</v>
      </c>
      <c r="J55" s="171">
        <v>2000</v>
      </c>
      <c r="K55" s="171"/>
      <c r="L55" s="172">
        <f>SUM(L34:L54)</f>
        <v>1740</v>
      </c>
      <c r="M55" s="951"/>
      <c r="N55" s="940"/>
      <c r="O55" s="940"/>
      <c r="P55" s="937"/>
      <c r="Q55" s="934"/>
      <c r="R55" s="934"/>
      <c r="S55" s="971"/>
      <c r="T55" s="632">
        <f>(+L55/J55)*100</f>
        <v>87</v>
      </c>
    </row>
    <row r="56" spans="2:20" ht="32.25" customHeight="1" thickBot="1">
      <c r="B56" s="886" t="s">
        <v>661</v>
      </c>
      <c r="C56" s="895" t="s">
        <v>293</v>
      </c>
      <c r="D56" s="953"/>
      <c r="E56" s="953"/>
      <c r="F56" s="953"/>
      <c r="G56" s="953"/>
      <c r="H56" s="953"/>
      <c r="I56" s="953"/>
      <c r="J56" s="953"/>
      <c r="K56" s="953"/>
      <c r="L56" s="953"/>
      <c r="M56" s="955"/>
      <c r="N56" s="929" t="s">
        <v>542</v>
      </c>
      <c r="O56" s="930"/>
      <c r="P56" s="930"/>
      <c r="Q56" s="930"/>
      <c r="R56" s="930"/>
      <c r="S56" s="931"/>
      <c r="T56" s="927" t="s">
        <v>269</v>
      </c>
    </row>
    <row r="57" spans="2:20" ht="408.75" customHeight="1" thickBot="1">
      <c r="B57" s="887"/>
      <c r="C57" s="119" t="s">
        <v>439</v>
      </c>
      <c r="D57" s="120" t="s">
        <v>461</v>
      </c>
      <c r="E57" s="119" t="s">
        <v>450</v>
      </c>
      <c r="F57" s="130" t="s">
        <v>271</v>
      </c>
      <c r="G57" s="130" t="s">
        <v>272</v>
      </c>
      <c r="H57" s="131" t="s">
        <v>284</v>
      </c>
      <c r="I57" s="130" t="s">
        <v>285</v>
      </c>
      <c r="J57" s="130" t="s">
        <v>482</v>
      </c>
      <c r="K57" s="130" t="s">
        <v>286</v>
      </c>
      <c r="L57" s="132" t="s">
        <v>287</v>
      </c>
      <c r="M57" s="130" t="s">
        <v>288</v>
      </c>
      <c r="N57" s="130" t="s">
        <v>270</v>
      </c>
      <c r="O57" s="131" t="s">
        <v>289</v>
      </c>
      <c r="P57" s="130" t="s">
        <v>290</v>
      </c>
      <c r="Q57" s="130" t="s">
        <v>488</v>
      </c>
      <c r="R57" s="122" t="s">
        <v>291</v>
      </c>
      <c r="S57" s="123" t="s">
        <v>292</v>
      </c>
      <c r="T57" s="928"/>
    </row>
    <row r="58" spans="2:20" ht="32.25" customHeight="1" thickBot="1">
      <c r="B58" s="898" t="s">
        <v>252</v>
      </c>
      <c r="C58" s="899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99"/>
      <c r="T58" s="900"/>
    </row>
    <row r="59" spans="2:20" ht="59.25" customHeight="1">
      <c r="B59" s="893" t="s">
        <v>251</v>
      </c>
      <c r="C59" s="214" t="s">
        <v>647</v>
      </c>
      <c r="D59" s="215" t="s">
        <v>265</v>
      </c>
      <c r="E59" s="214" t="s">
        <v>989</v>
      </c>
      <c r="F59" s="299">
        <v>10</v>
      </c>
      <c r="G59" s="299">
        <v>10</v>
      </c>
      <c r="H59" s="299">
        <f>(+G59/F59)*100</f>
        <v>100</v>
      </c>
      <c r="I59" s="217"/>
      <c r="J59" s="299">
        <v>10</v>
      </c>
      <c r="K59" s="299">
        <v>10</v>
      </c>
      <c r="L59" s="299">
        <f>(+K59/J59)*100</f>
        <v>100</v>
      </c>
      <c r="M59" s="945">
        <v>30</v>
      </c>
      <c r="N59" s="877">
        <v>100000000</v>
      </c>
      <c r="O59" s="883">
        <v>0</v>
      </c>
      <c r="P59" s="880">
        <v>0</v>
      </c>
      <c r="Q59" s="883">
        <f>(369000000+100000000+100000000+100000000)</f>
        <v>669000000</v>
      </c>
      <c r="R59" s="883">
        <v>351384699</v>
      </c>
      <c r="S59" s="880">
        <f>(+R59/Q59)*100</f>
        <v>52.523871300448434</v>
      </c>
      <c r="T59" s="133"/>
    </row>
    <row r="60" spans="2:20" ht="57" customHeight="1">
      <c r="B60" s="894"/>
      <c r="C60" s="219" t="s">
        <v>649</v>
      </c>
      <c r="D60" s="220" t="s">
        <v>265</v>
      </c>
      <c r="E60" s="225" t="s">
        <v>984</v>
      </c>
      <c r="F60" s="434">
        <v>10</v>
      </c>
      <c r="G60" s="223">
        <v>10</v>
      </c>
      <c r="H60" s="299">
        <f aca="true" t="shared" si="5" ref="H60:H66">(+G60/F60)*100</f>
        <v>100</v>
      </c>
      <c r="I60" s="222"/>
      <c r="J60" s="434">
        <v>10</v>
      </c>
      <c r="K60" s="223">
        <v>10</v>
      </c>
      <c r="L60" s="299">
        <f aca="true" t="shared" si="6" ref="L60:L66">(+K60/J60)*100</f>
        <v>100</v>
      </c>
      <c r="M60" s="946"/>
      <c r="N60" s="878"/>
      <c r="O60" s="884"/>
      <c r="P60" s="881"/>
      <c r="Q60" s="884"/>
      <c r="R60" s="884"/>
      <c r="S60" s="881"/>
      <c r="T60" s="134"/>
    </row>
    <row r="61" spans="2:20" ht="45.75" customHeight="1">
      <c r="B61" s="894"/>
      <c r="C61" s="219" t="s">
        <v>485</v>
      </c>
      <c r="D61" s="220" t="s">
        <v>262</v>
      </c>
      <c r="E61" s="219" t="s">
        <v>985</v>
      </c>
      <c r="F61" s="434">
        <v>1</v>
      </c>
      <c r="G61" s="223">
        <v>1</v>
      </c>
      <c r="H61" s="299">
        <f t="shared" si="5"/>
        <v>100</v>
      </c>
      <c r="I61" s="222"/>
      <c r="J61" s="223">
        <v>3</v>
      </c>
      <c r="K61" s="226">
        <v>3</v>
      </c>
      <c r="L61" s="299">
        <f t="shared" si="6"/>
        <v>100</v>
      </c>
      <c r="M61" s="946"/>
      <c r="N61" s="878"/>
      <c r="O61" s="884"/>
      <c r="P61" s="881"/>
      <c r="Q61" s="884"/>
      <c r="R61" s="884"/>
      <c r="S61" s="881"/>
      <c r="T61" s="134"/>
    </row>
    <row r="62" spans="2:20" ht="49.5" customHeight="1">
      <c r="B62" s="894"/>
      <c r="C62" s="224" t="s">
        <v>467</v>
      </c>
      <c r="D62" s="220" t="s">
        <v>262</v>
      </c>
      <c r="E62" s="219" t="s">
        <v>986</v>
      </c>
      <c r="F62" s="434">
        <v>2</v>
      </c>
      <c r="G62" s="223">
        <v>2</v>
      </c>
      <c r="H62" s="299">
        <f t="shared" si="5"/>
        <v>100</v>
      </c>
      <c r="I62" s="222"/>
      <c r="J62" s="223">
        <v>5</v>
      </c>
      <c r="K62" s="226">
        <v>5</v>
      </c>
      <c r="L62" s="299">
        <f t="shared" si="6"/>
        <v>100</v>
      </c>
      <c r="M62" s="946"/>
      <c r="N62" s="878"/>
      <c r="O62" s="884"/>
      <c r="P62" s="881"/>
      <c r="Q62" s="884"/>
      <c r="R62" s="884"/>
      <c r="S62" s="881"/>
      <c r="T62" s="134"/>
    </row>
    <row r="63" spans="2:20" ht="44.25" customHeight="1">
      <c r="B63" s="894"/>
      <c r="C63" s="219" t="s">
        <v>662</v>
      </c>
      <c r="D63" s="220" t="s">
        <v>265</v>
      </c>
      <c r="E63" s="219" t="s">
        <v>985</v>
      </c>
      <c r="F63" s="434">
        <v>100</v>
      </c>
      <c r="G63" s="223">
        <v>100</v>
      </c>
      <c r="H63" s="299">
        <f t="shared" si="5"/>
        <v>100</v>
      </c>
      <c r="I63" s="222"/>
      <c r="J63" s="223">
        <v>100</v>
      </c>
      <c r="K63" s="223">
        <v>100</v>
      </c>
      <c r="L63" s="299">
        <f t="shared" si="6"/>
        <v>100</v>
      </c>
      <c r="M63" s="946"/>
      <c r="N63" s="878"/>
      <c r="O63" s="884"/>
      <c r="P63" s="881"/>
      <c r="Q63" s="884"/>
      <c r="R63" s="884"/>
      <c r="S63" s="881"/>
      <c r="T63" s="134"/>
    </row>
    <row r="64" spans="2:20" ht="39" customHeight="1">
      <c r="B64" s="894"/>
      <c r="C64" s="219" t="s">
        <v>656</v>
      </c>
      <c r="D64" s="220" t="s">
        <v>262</v>
      </c>
      <c r="E64" s="219" t="s">
        <v>648</v>
      </c>
      <c r="F64" s="434">
        <v>1</v>
      </c>
      <c r="G64" s="223">
        <v>0.2</v>
      </c>
      <c r="H64" s="299">
        <f t="shared" si="5"/>
        <v>20</v>
      </c>
      <c r="I64" s="222"/>
      <c r="J64" s="223">
        <v>1</v>
      </c>
      <c r="K64" s="223">
        <v>0.2</v>
      </c>
      <c r="L64" s="299">
        <f t="shared" si="6"/>
        <v>20</v>
      </c>
      <c r="M64" s="946"/>
      <c r="N64" s="878"/>
      <c r="O64" s="884"/>
      <c r="P64" s="881"/>
      <c r="Q64" s="884"/>
      <c r="R64" s="884"/>
      <c r="S64" s="881"/>
      <c r="T64" s="134"/>
    </row>
    <row r="65" spans="2:22" ht="32.25" customHeight="1">
      <c r="B65" s="894"/>
      <c r="C65" s="219" t="s">
        <v>658</v>
      </c>
      <c r="D65" s="220" t="s">
        <v>262</v>
      </c>
      <c r="E65" s="227" t="s">
        <v>652</v>
      </c>
      <c r="F65" s="434">
        <v>1</v>
      </c>
      <c r="G65" s="223">
        <v>0.5</v>
      </c>
      <c r="H65" s="299">
        <f t="shared" si="5"/>
        <v>50</v>
      </c>
      <c r="I65" s="222"/>
      <c r="J65" s="223">
        <v>1</v>
      </c>
      <c r="K65" s="223">
        <v>0.5</v>
      </c>
      <c r="L65" s="299">
        <f t="shared" si="6"/>
        <v>50</v>
      </c>
      <c r="M65" s="946"/>
      <c r="N65" s="878"/>
      <c r="O65" s="884"/>
      <c r="P65" s="881"/>
      <c r="Q65" s="884"/>
      <c r="R65" s="884"/>
      <c r="S65" s="881"/>
      <c r="T65" s="134"/>
      <c r="U65">
        <v>669000000</v>
      </c>
      <c r="V65">
        <v>351384699</v>
      </c>
    </row>
    <row r="66" spans="2:20" ht="55.5" customHeight="1">
      <c r="B66" s="894"/>
      <c r="C66" s="219" t="s">
        <v>663</v>
      </c>
      <c r="D66" s="220" t="s">
        <v>262</v>
      </c>
      <c r="E66" s="227" t="s">
        <v>987</v>
      </c>
      <c r="F66" s="434">
        <v>1</v>
      </c>
      <c r="G66" s="299">
        <v>0.2</v>
      </c>
      <c r="H66" s="299">
        <f t="shared" si="5"/>
        <v>20</v>
      </c>
      <c r="I66" s="228"/>
      <c r="J66" s="223">
        <v>1</v>
      </c>
      <c r="K66" s="299">
        <v>0.2</v>
      </c>
      <c r="L66" s="299">
        <f t="shared" si="6"/>
        <v>20</v>
      </c>
      <c r="M66" s="946"/>
      <c r="N66" s="878"/>
      <c r="O66" s="884"/>
      <c r="P66" s="881"/>
      <c r="Q66" s="884"/>
      <c r="R66" s="884"/>
      <c r="S66" s="881"/>
      <c r="T66" s="633" t="s">
        <v>980</v>
      </c>
    </row>
    <row r="67" spans="2:20" ht="29.25" customHeight="1">
      <c r="B67" s="894"/>
      <c r="C67" s="162" t="s">
        <v>637</v>
      </c>
      <c r="D67" s="175" t="s">
        <v>262</v>
      </c>
      <c r="E67" s="957" t="s">
        <v>483</v>
      </c>
      <c r="F67" s="173" t="s">
        <v>56</v>
      </c>
      <c r="G67" s="115" t="s">
        <v>56</v>
      </c>
      <c r="H67" s="115" t="s">
        <v>56</v>
      </c>
      <c r="I67" s="143"/>
      <c r="J67" s="99">
        <v>1</v>
      </c>
      <c r="K67" s="99">
        <v>1</v>
      </c>
      <c r="L67" s="178">
        <v>100</v>
      </c>
      <c r="M67" s="946"/>
      <c r="N67" s="878"/>
      <c r="O67" s="884"/>
      <c r="P67" s="881"/>
      <c r="Q67" s="884"/>
      <c r="R67" s="884"/>
      <c r="S67" s="881"/>
      <c r="T67" s="134"/>
    </row>
    <row r="68" spans="2:20" ht="37.5" customHeight="1">
      <c r="B68" s="894"/>
      <c r="C68" s="163" t="s">
        <v>484</v>
      </c>
      <c r="D68" s="176" t="s">
        <v>262</v>
      </c>
      <c r="E68" s="958"/>
      <c r="F68" s="173" t="s">
        <v>56</v>
      </c>
      <c r="G68" s="115" t="s">
        <v>56</v>
      </c>
      <c r="H68" s="115" t="s">
        <v>56</v>
      </c>
      <c r="I68" s="135"/>
      <c r="J68" s="100">
        <v>2</v>
      </c>
      <c r="K68" s="100">
        <v>2</v>
      </c>
      <c r="L68" s="179">
        <v>100</v>
      </c>
      <c r="M68" s="946"/>
      <c r="N68" s="878"/>
      <c r="O68" s="884"/>
      <c r="P68" s="881"/>
      <c r="Q68" s="884"/>
      <c r="R68" s="884"/>
      <c r="S68" s="881"/>
      <c r="T68" s="134"/>
    </row>
    <row r="69" spans="2:20" ht="32.25" customHeight="1">
      <c r="B69" s="894"/>
      <c r="C69" s="579" t="s">
        <v>473</v>
      </c>
      <c r="D69" s="142" t="s">
        <v>264</v>
      </c>
      <c r="E69" s="177" t="s">
        <v>474</v>
      </c>
      <c r="F69" s="173" t="s">
        <v>56</v>
      </c>
      <c r="G69" s="115" t="s">
        <v>56</v>
      </c>
      <c r="H69" s="115" t="s">
        <v>56</v>
      </c>
      <c r="I69" s="135"/>
      <c r="J69" s="578">
        <v>300000</v>
      </c>
      <c r="K69" s="578">
        <v>300000</v>
      </c>
      <c r="L69" s="179">
        <f aca="true" t="shared" si="7" ref="L69:L74">(+K69/J69)*100</f>
        <v>100</v>
      </c>
      <c r="M69" s="946"/>
      <c r="N69" s="878"/>
      <c r="O69" s="884"/>
      <c r="P69" s="881"/>
      <c r="Q69" s="884"/>
      <c r="R69" s="884"/>
      <c r="S69" s="881"/>
      <c r="T69" s="134"/>
    </row>
    <row r="70" spans="2:20" ht="33" customHeight="1">
      <c r="B70" s="894"/>
      <c r="C70" s="902" t="s">
        <v>444</v>
      </c>
      <c r="D70" s="960" t="s">
        <v>264</v>
      </c>
      <c r="E70" s="107" t="s">
        <v>475</v>
      </c>
      <c r="F70" s="956" t="s">
        <v>56</v>
      </c>
      <c r="G70" s="888" t="s">
        <v>56</v>
      </c>
      <c r="H70" s="888" t="s">
        <v>56</v>
      </c>
      <c r="I70" s="888"/>
      <c r="J70" s="922">
        <v>300000</v>
      </c>
      <c r="K70" s="910">
        <v>0</v>
      </c>
      <c r="L70" s="948">
        <f t="shared" si="7"/>
        <v>0</v>
      </c>
      <c r="M70" s="946"/>
      <c r="N70" s="878"/>
      <c r="O70" s="884"/>
      <c r="P70" s="881"/>
      <c r="Q70" s="884"/>
      <c r="R70" s="884"/>
      <c r="S70" s="881"/>
      <c r="T70" s="926"/>
    </row>
    <row r="71" spans="2:20" ht="17.25" customHeight="1">
      <c r="B71" s="894"/>
      <c r="C71" s="902"/>
      <c r="D71" s="960"/>
      <c r="E71" s="177" t="s">
        <v>476</v>
      </c>
      <c r="F71" s="956"/>
      <c r="G71" s="888"/>
      <c r="H71" s="888"/>
      <c r="I71" s="888"/>
      <c r="J71" s="922"/>
      <c r="K71" s="910"/>
      <c r="L71" s="948"/>
      <c r="M71" s="946"/>
      <c r="N71" s="878"/>
      <c r="O71" s="884"/>
      <c r="P71" s="881"/>
      <c r="Q71" s="884"/>
      <c r="R71" s="884"/>
      <c r="S71" s="881"/>
      <c r="T71" s="926"/>
    </row>
    <row r="72" spans="2:20" ht="39" customHeight="1">
      <c r="B72" s="894"/>
      <c r="C72" s="902"/>
      <c r="D72" s="960"/>
      <c r="E72" s="177" t="s">
        <v>477</v>
      </c>
      <c r="F72" s="956"/>
      <c r="G72" s="888"/>
      <c r="H72" s="888"/>
      <c r="I72" s="888"/>
      <c r="J72" s="922"/>
      <c r="K72" s="910"/>
      <c r="L72" s="948"/>
      <c r="M72" s="946"/>
      <c r="N72" s="878"/>
      <c r="O72" s="884"/>
      <c r="P72" s="881"/>
      <c r="Q72" s="884"/>
      <c r="R72" s="884"/>
      <c r="S72" s="881"/>
      <c r="T72" s="926"/>
    </row>
    <row r="73" spans="2:20" ht="34.5" customHeight="1">
      <c r="B73" s="894"/>
      <c r="C73" s="126" t="s">
        <v>465</v>
      </c>
      <c r="D73" s="142" t="s">
        <v>264</v>
      </c>
      <c r="E73" s="107" t="s">
        <v>466</v>
      </c>
      <c r="F73" s="146" t="s">
        <v>56</v>
      </c>
      <c r="G73" s="135" t="s">
        <v>56</v>
      </c>
      <c r="H73" s="135" t="s">
        <v>56</v>
      </c>
      <c r="I73" s="135"/>
      <c r="J73" s="100">
        <v>1</v>
      </c>
      <c r="K73" s="100">
        <v>1</v>
      </c>
      <c r="L73" s="179">
        <f t="shared" si="7"/>
        <v>100</v>
      </c>
      <c r="M73" s="946"/>
      <c r="N73" s="878"/>
      <c r="O73" s="884"/>
      <c r="P73" s="881"/>
      <c r="Q73" s="884"/>
      <c r="R73" s="884"/>
      <c r="S73" s="881"/>
      <c r="T73" s="134"/>
    </row>
    <row r="74" spans="2:20" ht="36.75" customHeight="1" thickBot="1">
      <c r="B74" s="894"/>
      <c r="C74" s="128" t="s">
        <v>478</v>
      </c>
      <c r="D74" s="144" t="s">
        <v>260</v>
      </c>
      <c r="E74" s="147" t="s">
        <v>452</v>
      </c>
      <c r="F74" s="180" t="s">
        <v>56</v>
      </c>
      <c r="G74" s="136" t="s">
        <v>56</v>
      </c>
      <c r="H74" s="136" t="s">
        <v>56</v>
      </c>
      <c r="I74" s="136"/>
      <c r="J74" s="102">
        <v>1</v>
      </c>
      <c r="K74" s="102">
        <v>1</v>
      </c>
      <c r="L74" s="181">
        <f t="shared" si="7"/>
        <v>100</v>
      </c>
      <c r="M74" s="947"/>
      <c r="N74" s="879"/>
      <c r="O74" s="885"/>
      <c r="P74" s="882"/>
      <c r="Q74" s="885"/>
      <c r="R74" s="885"/>
      <c r="S74" s="882"/>
      <c r="T74" s="137"/>
    </row>
    <row r="75" spans="2:20" ht="27.75" customHeight="1" thickBot="1">
      <c r="B75" s="138"/>
      <c r="C75" s="896" t="s">
        <v>659</v>
      </c>
      <c r="D75" s="897"/>
      <c r="E75" s="952"/>
      <c r="F75" s="183">
        <v>800</v>
      </c>
      <c r="G75" s="171"/>
      <c r="H75" s="184">
        <f>SUM(H59:H74)</f>
        <v>590</v>
      </c>
      <c r="I75" s="184">
        <f>(+H75/F75)*100</f>
        <v>73.75</v>
      </c>
      <c r="J75" s="171">
        <v>1400</v>
      </c>
      <c r="K75" s="184"/>
      <c r="L75" s="172">
        <f>SUM(L59:L74)</f>
        <v>1090</v>
      </c>
      <c r="M75" s="182"/>
      <c r="N75" s="139"/>
      <c r="O75" s="139"/>
      <c r="P75" s="139"/>
      <c r="Q75" s="139"/>
      <c r="R75" s="139"/>
      <c r="S75" s="139"/>
      <c r="T75" s="88">
        <f>(+L75/J75)*100</f>
        <v>77.85714285714286</v>
      </c>
    </row>
    <row r="78" ht="15.75">
      <c r="L78" s="86"/>
    </row>
    <row r="79" ht="12.75" customHeight="1"/>
  </sheetData>
  <sheetProtection/>
  <mergeCells count="84">
    <mergeCell ref="E10:E11"/>
    <mergeCell ref="E26:E28"/>
    <mergeCell ref="E22:E23"/>
    <mergeCell ref="I22:I23"/>
    <mergeCell ref="N34:N55"/>
    <mergeCell ref="B33:T33"/>
    <mergeCell ref="L51:L52"/>
    <mergeCell ref="S34:S55"/>
    <mergeCell ref="P7:P30"/>
    <mergeCell ref="J51:J52"/>
    <mergeCell ref="J70:J72"/>
    <mergeCell ref="G70:G72"/>
    <mergeCell ref="E15:E16"/>
    <mergeCell ref="F24:F25"/>
    <mergeCell ref="G24:G25"/>
    <mergeCell ref="H24:H25"/>
    <mergeCell ref="E40:E42"/>
    <mergeCell ref="I70:I72"/>
    <mergeCell ref="E18:E19"/>
    <mergeCell ref="F51:F52"/>
    <mergeCell ref="C75:E75"/>
    <mergeCell ref="C31:M31"/>
    <mergeCell ref="C56:M56"/>
    <mergeCell ref="F70:F72"/>
    <mergeCell ref="E67:E68"/>
    <mergeCell ref="E44:E48"/>
    <mergeCell ref="H70:H72"/>
    <mergeCell ref="C70:C72"/>
    <mergeCell ref="D70:D72"/>
    <mergeCell ref="K70:K72"/>
    <mergeCell ref="M59:M74"/>
    <mergeCell ref="O7:O30"/>
    <mergeCell ref="L70:L72"/>
    <mergeCell ref="O59:O74"/>
    <mergeCell ref="M34:M55"/>
    <mergeCell ref="L22:L23"/>
    <mergeCell ref="K22:K23"/>
    <mergeCell ref="Q7:Q30"/>
    <mergeCell ref="O34:O55"/>
    <mergeCell ref="P59:P74"/>
    <mergeCell ref="T31:T32"/>
    <mergeCell ref="N31:S31"/>
    <mergeCell ref="S7:S30"/>
    <mergeCell ref="R7:R30"/>
    <mergeCell ref="T22:T23"/>
    <mergeCell ref="T70:T72"/>
    <mergeCell ref="T56:T57"/>
    <mergeCell ref="N56:S56"/>
    <mergeCell ref="R34:R55"/>
    <mergeCell ref="P34:P55"/>
    <mergeCell ref="Q34:Q55"/>
    <mergeCell ref="R59:R74"/>
    <mergeCell ref="B6:T6"/>
    <mergeCell ref="C4:M4"/>
    <mergeCell ref="M7:M30"/>
    <mergeCell ref="T4:T5"/>
    <mergeCell ref="J22:J23"/>
    <mergeCell ref="B4:B5"/>
    <mergeCell ref="N4:S4"/>
    <mergeCell ref="G22:G23"/>
    <mergeCell ref="H22:H23"/>
    <mergeCell ref="F22:F23"/>
    <mergeCell ref="C30:E30"/>
    <mergeCell ref="B58:T58"/>
    <mergeCell ref="B31:B32"/>
    <mergeCell ref="C51:C52"/>
    <mergeCell ref="I51:I52"/>
    <mergeCell ref="E51:E52"/>
    <mergeCell ref="C55:E55"/>
    <mergeCell ref="B7:B30"/>
    <mergeCell ref="K51:K52"/>
    <mergeCell ref="G51:G52"/>
    <mergeCell ref="B2:T2"/>
    <mergeCell ref="N59:N74"/>
    <mergeCell ref="S59:S74"/>
    <mergeCell ref="Q59:Q74"/>
    <mergeCell ref="B56:B57"/>
    <mergeCell ref="H51:H52"/>
    <mergeCell ref="N7:N30"/>
    <mergeCell ref="B59:B74"/>
    <mergeCell ref="B3:T3"/>
    <mergeCell ref="B34:B55"/>
  </mergeCells>
  <printOptions horizontalCentered="1" verticalCentered="1"/>
  <pageMargins left="0.1968503937007874" right="0.1968503937007874" top="0.1968503937007874" bottom="0.984251968503937" header="0.1968503937007874" footer="0"/>
  <pageSetup horizontalDpi="300" verticalDpi="300" orientation="landscape" scale="38" r:id="rId1"/>
  <rowBreaks count="2" manualBreakCount="2">
    <brk id="30" min="1" max="19" man="1"/>
    <brk id="55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60" zoomScaleNormal="60" zoomScalePageLayoutView="0" workbookViewId="0" topLeftCell="A31">
      <selection activeCell="A1" sqref="A1:S44"/>
    </sheetView>
  </sheetViews>
  <sheetFormatPr defaultColWidth="11.421875" defaultRowHeight="12.75"/>
  <cols>
    <col min="1" max="1" width="24.7109375" style="0" customWidth="1"/>
    <col min="2" max="2" width="65.7109375" style="0" customWidth="1"/>
    <col min="3" max="3" width="18.57421875" style="0" customWidth="1"/>
    <col min="4" max="4" width="85.00390625" style="0" customWidth="1"/>
    <col min="5" max="5" width="7.421875" style="0" customWidth="1"/>
    <col min="6" max="6" width="8.140625" style="0" customWidth="1"/>
    <col min="7" max="7" width="7.7109375" style="0" customWidth="1"/>
    <col min="8" max="8" width="9.7109375" style="0" customWidth="1"/>
    <col min="9" max="9" width="8.8515625" style="0" customWidth="1"/>
    <col min="10" max="10" width="7.421875" style="0" customWidth="1"/>
    <col min="11" max="11" width="9.421875" style="0" customWidth="1"/>
    <col min="12" max="12" width="7.140625" style="0" bestFit="1" customWidth="1"/>
    <col min="13" max="13" width="5.00390625" style="0" customWidth="1"/>
    <col min="14" max="15" width="6.7109375" style="0" customWidth="1"/>
    <col min="16" max="16" width="5.421875" style="0" customWidth="1"/>
    <col min="17" max="17" width="5.00390625" style="0" customWidth="1"/>
    <col min="18" max="18" width="7.140625" style="0" customWidth="1"/>
    <col min="19" max="19" width="8.7109375" style="0" customWidth="1"/>
  </cols>
  <sheetData>
    <row r="1" spans="1:19" ht="31.5" customHeight="1" thickBot="1">
      <c r="A1" s="874" t="s">
        <v>664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6"/>
    </row>
    <row r="2" spans="1:19" ht="16.5" customHeight="1" thickBot="1">
      <c r="A2" s="874" t="s">
        <v>968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6"/>
    </row>
    <row r="3" spans="1:19" ht="34.5" customHeight="1" thickBot="1">
      <c r="A3" s="923" t="s">
        <v>666</v>
      </c>
      <c r="B3" s="11"/>
      <c r="C3" s="874" t="s">
        <v>541</v>
      </c>
      <c r="D3" s="875"/>
      <c r="E3" s="875"/>
      <c r="F3" s="875"/>
      <c r="G3" s="875"/>
      <c r="H3" s="875"/>
      <c r="I3" s="875"/>
      <c r="J3" s="915"/>
      <c r="K3" s="915"/>
      <c r="L3" s="915"/>
      <c r="M3" s="874" t="s">
        <v>542</v>
      </c>
      <c r="N3" s="875"/>
      <c r="O3" s="875"/>
      <c r="P3" s="875"/>
      <c r="Q3" s="875"/>
      <c r="R3" s="875"/>
      <c r="S3" s="920" t="s">
        <v>269</v>
      </c>
    </row>
    <row r="4" spans="1:19" ht="384" customHeight="1" thickBot="1">
      <c r="A4" s="924"/>
      <c r="B4" s="12" t="s">
        <v>439</v>
      </c>
      <c r="C4" s="12" t="s">
        <v>372</v>
      </c>
      <c r="D4" s="12" t="s">
        <v>294</v>
      </c>
      <c r="E4" s="14" t="s">
        <v>271</v>
      </c>
      <c r="F4" s="14" t="s">
        <v>272</v>
      </c>
      <c r="G4" s="15" t="s">
        <v>284</v>
      </c>
      <c r="H4" s="14" t="s">
        <v>285</v>
      </c>
      <c r="I4" s="14" t="s">
        <v>650</v>
      </c>
      <c r="J4" s="14" t="s">
        <v>286</v>
      </c>
      <c r="K4" s="16" t="s">
        <v>287</v>
      </c>
      <c r="L4" s="14" t="s">
        <v>668</v>
      </c>
      <c r="M4" s="14" t="s">
        <v>270</v>
      </c>
      <c r="N4" s="15" t="s">
        <v>289</v>
      </c>
      <c r="O4" s="14" t="s">
        <v>290</v>
      </c>
      <c r="P4" s="14" t="s">
        <v>667</v>
      </c>
      <c r="Q4" s="15" t="s">
        <v>291</v>
      </c>
      <c r="R4" s="16" t="s">
        <v>292</v>
      </c>
      <c r="S4" s="921"/>
    </row>
    <row r="5" spans="1:19" ht="23.25" customHeight="1" thickBot="1">
      <c r="A5" s="1012" t="s">
        <v>295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2"/>
      <c r="S5" s="1013"/>
    </row>
    <row r="6" spans="1:19" ht="43.5" customHeight="1" thickBot="1">
      <c r="A6" s="1020" t="s">
        <v>296</v>
      </c>
      <c r="B6" s="596" t="s">
        <v>639</v>
      </c>
      <c r="C6" s="596" t="s">
        <v>262</v>
      </c>
      <c r="D6" s="596" t="s">
        <v>991</v>
      </c>
      <c r="E6" s="483">
        <v>2</v>
      </c>
      <c r="F6" s="433">
        <v>2</v>
      </c>
      <c r="G6" s="582">
        <f>(+F6/E6)*100</f>
        <v>100</v>
      </c>
      <c r="H6" s="433"/>
      <c r="I6" s="433">
        <v>4</v>
      </c>
      <c r="J6" s="433">
        <v>4</v>
      </c>
      <c r="K6" s="218">
        <f>(+J6/I6)*100</f>
        <v>100</v>
      </c>
      <c r="L6" s="991">
        <v>20</v>
      </c>
      <c r="M6" s="1009">
        <v>302719000</v>
      </c>
      <c r="N6" s="1009">
        <v>302344970</v>
      </c>
      <c r="O6" s="988">
        <f>(+N6/M6)*100</f>
        <v>99.87644317006861</v>
      </c>
      <c r="P6" s="1014">
        <f>(550000000+450000000+400000000+400000000)</f>
        <v>1800000000</v>
      </c>
      <c r="Q6" s="1014">
        <f>(9801313+48299629+577626722+N6)</f>
        <v>938072634</v>
      </c>
      <c r="R6" s="1017">
        <f>(+Q6/P6)*100</f>
        <v>52.11514633333333</v>
      </c>
      <c r="S6" s="150"/>
    </row>
    <row r="7" spans="1:19" ht="39.75" customHeight="1">
      <c r="A7" s="1023"/>
      <c r="B7" s="597" t="s">
        <v>787</v>
      </c>
      <c r="C7" s="597" t="s">
        <v>262</v>
      </c>
      <c r="D7" s="597" t="s">
        <v>665</v>
      </c>
      <c r="E7" s="221">
        <v>2</v>
      </c>
      <c r="F7" s="582">
        <v>2</v>
      </c>
      <c r="G7" s="582">
        <f>(+F7/E7)*100</f>
        <v>100</v>
      </c>
      <c r="H7" s="582"/>
      <c r="I7" s="582">
        <v>2</v>
      </c>
      <c r="J7" s="582">
        <v>2</v>
      </c>
      <c r="K7" s="218">
        <f>(+J7/I7)*100</f>
        <v>100</v>
      </c>
      <c r="L7" s="992"/>
      <c r="M7" s="1010"/>
      <c r="N7" s="1010"/>
      <c r="O7" s="989"/>
      <c r="P7" s="1015"/>
      <c r="Q7" s="1015"/>
      <c r="R7" s="1018"/>
      <c r="S7" s="151"/>
    </row>
    <row r="8" spans="1:19" ht="41.25" customHeight="1">
      <c r="A8" s="1023"/>
      <c r="B8" s="1003" t="s">
        <v>669</v>
      </c>
      <c r="C8" s="582" t="s">
        <v>868</v>
      </c>
      <c r="D8" s="582" t="s">
        <v>992</v>
      </c>
      <c r="E8" s="221">
        <v>1457</v>
      </c>
      <c r="F8" s="582">
        <v>1452</v>
      </c>
      <c r="G8" s="582">
        <f>(+F8/E8)*100</f>
        <v>99.65682910089224</v>
      </c>
      <c r="H8" s="582"/>
      <c r="I8" s="221">
        <v>1457</v>
      </c>
      <c r="J8" s="582">
        <v>1452</v>
      </c>
      <c r="K8" s="582">
        <f>(+J8/I8)*100</f>
        <v>99.65682910089224</v>
      </c>
      <c r="L8" s="992"/>
      <c r="M8" s="1010"/>
      <c r="N8" s="1010"/>
      <c r="O8" s="989"/>
      <c r="P8" s="1015"/>
      <c r="Q8" s="1015"/>
      <c r="R8" s="1018"/>
      <c r="S8" s="426"/>
    </row>
    <row r="9" spans="1:19" ht="43.5" customHeight="1">
      <c r="A9" s="1023"/>
      <c r="B9" s="1003"/>
      <c r="C9" s="582" t="s">
        <v>868</v>
      </c>
      <c r="D9" s="582" t="s">
        <v>993</v>
      </c>
      <c r="E9" s="221">
        <v>160</v>
      </c>
      <c r="F9" s="582">
        <v>143</v>
      </c>
      <c r="G9" s="582">
        <f>(+F9/E9)*100</f>
        <v>89.375</v>
      </c>
      <c r="H9" s="582"/>
      <c r="I9" s="221">
        <v>160</v>
      </c>
      <c r="J9" s="582">
        <v>143</v>
      </c>
      <c r="K9" s="582">
        <f>(+J9/I9)*100</f>
        <v>89.375</v>
      </c>
      <c r="L9" s="992"/>
      <c r="M9" s="1010"/>
      <c r="N9" s="1010"/>
      <c r="O9" s="989"/>
      <c r="P9" s="1015"/>
      <c r="Q9" s="1015"/>
      <c r="R9" s="1018"/>
      <c r="S9" s="426"/>
    </row>
    <row r="10" spans="1:19" ht="37.5" customHeight="1">
      <c r="A10" s="1021"/>
      <c r="B10" s="581" t="s">
        <v>492</v>
      </c>
      <c r="C10" s="581" t="s">
        <v>262</v>
      </c>
      <c r="D10" s="1002" t="s">
        <v>491</v>
      </c>
      <c r="E10" s="186" t="s">
        <v>56</v>
      </c>
      <c r="F10" s="152" t="s">
        <v>56</v>
      </c>
      <c r="G10" s="152" t="s">
        <v>56</v>
      </c>
      <c r="H10" s="153"/>
      <c r="I10" s="584">
        <v>1</v>
      </c>
      <c r="J10" s="584">
        <v>1</v>
      </c>
      <c r="K10" s="590">
        <v>100</v>
      </c>
      <c r="L10" s="993"/>
      <c r="M10" s="1010"/>
      <c r="N10" s="1010"/>
      <c r="O10" s="989"/>
      <c r="P10" s="1015"/>
      <c r="Q10" s="1015"/>
      <c r="R10" s="1018"/>
      <c r="S10" s="151"/>
    </row>
    <row r="11" spans="1:19" ht="23.25" customHeight="1">
      <c r="A11" s="1021"/>
      <c r="B11" s="581" t="s">
        <v>493</v>
      </c>
      <c r="C11" s="581" t="s">
        <v>262</v>
      </c>
      <c r="D11" s="1002"/>
      <c r="E11" s="186" t="s">
        <v>56</v>
      </c>
      <c r="F11" s="152" t="s">
        <v>56</v>
      </c>
      <c r="G11" s="152" t="s">
        <v>56</v>
      </c>
      <c r="H11" s="153"/>
      <c r="I11" s="584">
        <v>2</v>
      </c>
      <c r="J11" s="584">
        <v>2</v>
      </c>
      <c r="K11" s="590">
        <v>100</v>
      </c>
      <c r="L11" s="993"/>
      <c r="M11" s="1010"/>
      <c r="N11" s="1010"/>
      <c r="O11" s="989"/>
      <c r="P11" s="1015"/>
      <c r="Q11" s="1015"/>
      <c r="R11" s="1018"/>
      <c r="S11" s="151"/>
    </row>
    <row r="12" spans="1:19" ht="36">
      <c r="A12" s="1021"/>
      <c r="B12" s="581" t="s">
        <v>640</v>
      </c>
      <c r="C12" s="581" t="s">
        <v>262</v>
      </c>
      <c r="D12" s="1002"/>
      <c r="E12" s="186" t="s">
        <v>56</v>
      </c>
      <c r="F12" s="152" t="s">
        <v>56</v>
      </c>
      <c r="G12" s="152" t="s">
        <v>56</v>
      </c>
      <c r="H12" s="584"/>
      <c r="I12" s="584">
        <v>1</v>
      </c>
      <c r="J12" s="584">
        <v>1</v>
      </c>
      <c r="K12" s="590">
        <v>100</v>
      </c>
      <c r="L12" s="993"/>
      <c r="M12" s="1010"/>
      <c r="N12" s="1010"/>
      <c r="O12" s="989"/>
      <c r="P12" s="1015"/>
      <c r="Q12" s="1015"/>
      <c r="R12" s="1018"/>
      <c r="S12" s="151"/>
    </row>
    <row r="13" spans="1:19" ht="21" customHeight="1">
      <c r="A13" s="1021"/>
      <c r="B13" s="1002" t="s">
        <v>479</v>
      </c>
      <c r="C13" s="1002" t="s">
        <v>304</v>
      </c>
      <c r="D13" s="581" t="s">
        <v>320</v>
      </c>
      <c r="E13" s="1008" t="s">
        <v>56</v>
      </c>
      <c r="F13" s="984" t="s">
        <v>56</v>
      </c>
      <c r="G13" s="984" t="s">
        <v>56</v>
      </c>
      <c r="H13" s="984"/>
      <c r="I13" s="984">
        <v>1</v>
      </c>
      <c r="J13" s="984">
        <v>1</v>
      </c>
      <c r="K13" s="996">
        <f>(+J13/I13)*100</f>
        <v>100</v>
      </c>
      <c r="L13" s="993"/>
      <c r="M13" s="1010"/>
      <c r="N13" s="1010"/>
      <c r="O13" s="989"/>
      <c r="P13" s="1015"/>
      <c r="Q13" s="1015"/>
      <c r="R13" s="1018"/>
      <c r="S13" s="151"/>
    </row>
    <row r="14" spans="1:19" ht="21.75" customHeight="1">
      <c r="A14" s="1021"/>
      <c r="B14" s="1002"/>
      <c r="C14" s="1002"/>
      <c r="D14" s="581" t="s">
        <v>319</v>
      </c>
      <c r="E14" s="1008"/>
      <c r="F14" s="984"/>
      <c r="G14" s="984"/>
      <c r="H14" s="984"/>
      <c r="I14" s="984"/>
      <c r="J14" s="984"/>
      <c r="K14" s="996"/>
      <c r="L14" s="993"/>
      <c r="M14" s="1010"/>
      <c r="N14" s="1010"/>
      <c r="O14" s="989"/>
      <c r="P14" s="1015"/>
      <c r="Q14" s="1015"/>
      <c r="R14" s="1018"/>
      <c r="S14" s="151"/>
    </row>
    <row r="15" spans="1:19" ht="20.25" customHeight="1">
      <c r="A15" s="1021"/>
      <c r="B15" s="1002"/>
      <c r="C15" s="1002"/>
      <c r="D15" s="581" t="s">
        <v>297</v>
      </c>
      <c r="E15" s="1008"/>
      <c r="F15" s="984"/>
      <c r="G15" s="984"/>
      <c r="H15" s="984"/>
      <c r="I15" s="984"/>
      <c r="J15" s="984"/>
      <c r="K15" s="996"/>
      <c r="L15" s="993"/>
      <c r="M15" s="1010"/>
      <c r="N15" s="1010"/>
      <c r="O15" s="989"/>
      <c r="P15" s="1015"/>
      <c r="Q15" s="1015"/>
      <c r="R15" s="1018"/>
      <c r="S15" s="151"/>
    </row>
    <row r="16" spans="1:19" ht="36.75" customHeight="1">
      <c r="A16" s="1021"/>
      <c r="B16" s="1002"/>
      <c r="C16" s="1002"/>
      <c r="D16" s="581" t="s">
        <v>6</v>
      </c>
      <c r="E16" s="1008"/>
      <c r="F16" s="984"/>
      <c r="G16" s="984"/>
      <c r="H16" s="984"/>
      <c r="I16" s="984"/>
      <c r="J16" s="984"/>
      <c r="K16" s="996"/>
      <c r="L16" s="993"/>
      <c r="M16" s="1010"/>
      <c r="N16" s="1010"/>
      <c r="O16" s="989"/>
      <c r="P16" s="1015"/>
      <c r="Q16" s="1015"/>
      <c r="R16" s="1018"/>
      <c r="S16" s="151"/>
    </row>
    <row r="17" spans="1:19" ht="53.25" customHeight="1">
      <c r="A17" s="1021"/>
      <c r="B17" s="1002" t="s">
        <v>4</v>
      </c>
      <c r="C17" s="1002" t="s">
        <v>262</v>
      </c>
      <c r="D17" s="581" t="s">
        <v>5</v>
      </c>
      <c r="E17" s="186" t="s">
        <v>56</v>
      </c>
      <c r="F17" s="152" t="s">
        <v>56</v>
      </c>
      <c r="G17" s="152" t="s">
        <v>56</v>
      </c>
      <c r="H17" s="584"/>
      <c r="I17" s="584">
        <v>1</v>
      </c>
      <c r="J17" s="584">
        <v>1</v>
      </c>
      <c r="K17" s="590">
        <f aca="true" t="shared" si="0" ref="K17:K22">(+J17/I17)*100</f>
        <v>100</v>
      </c>
      <c r="L17" s="993"/>
      <c r="M17" s="1010"/>
      <c r="N17" s="1010"/>
      <c r="O17" s="989"/>
      <c r="P17" s="1015"/>
      <c r="Q17" s="1015"/>
      <c r="R17" s="1018"/>
      <c r="S17" s="151"/>
    </row>
    <row r="18" spans="1:19" ht="54" customHeight="1">
      <c r="A18" s="1021"/>
      <c r="B18" s="1002"/>
      <c r="C18" s="1002"/>
      <c r="D18" s="581" t="s">
        <v>321</v>
      </c>
      <c r="E18" s="186" t="s">
        <v>56</v>
      </c>
      <c r="F18" s="152" t="s">
        <v>56</v>
      </c>
      <c r="G18" s="152" t="s">
        <v>56</v>
      </c>
      <c r="H18" s="584"/>
      <c r="I18" s="584">
        <v>1</v>
      </c>
      <c r="J18" s="584">
        <v>1</v>
      </c>
      <c r="K18" s="590">
        <f t="shared" si="0"/>
        <v>100</v>
      </c>
      <c r="L18" s="993"/>
      <c r="M18" s="1010"/>
      <c r="N18" s="1010"/>
      <c r="O18" s="989"/>
      <c r="P18" s="1015"/>
      <c r="Q18" s="1015"/>
      <c r="R18" s="1018"/>
      <c r="S18" s="151"/>
    </row>
    <row r="19" spans="1:19" ht="36.75" customHeight="1">
      <c r="A19" s="1021"/>
      <c r="B19" s="1002"/>
      <c r="C19" s="1002"/>
      <c r="D19" s="581" t="s">
        <v>261</v>
      </c>
      <c r="E19" s="186" t="s">
        <v>56</v>
      </c>
      <c r="F19" s="152" t="s">
        <v>56</v>
      </c>
      <c r="G19" s="152" t="s">
        <v>56</v>
      </c>
      <c r="H19" s="584"/>
      <c r="I19" s="584">
        <v>1</v>
      </c>
      <c r="J19" s="584">
        <v>1</v>
      </c>
      <c r="K19" s="590">
        <f t="shared" si="0"/>
        <v>100</v>
      </c>
      <c r="L19" s="993"/>
      <c r="M19" s="1010"/>
      <c r="N19" s="1010"/>
      <c r="O19" s="989"/>
      <c r="P19" s="1015"/>
      <c r="Q19" s="1015"/>
      <c r="R19" s="1018"/>
      <c r="S19" s="151"/>
    </row>
    <row r="20" spans="1:19" ht="41.25" customHeight="1">
      <c r="A20" s="1021"/>
      <c r="B20" s="1002"/>
      <c r="C20" s="1002"/>
      <c r="D20" s="581" t="s">
        <v>7</v>
      </c>
      <c r="E20" s="186" t="s">
        <v>56</v>
      </c>
      <c r="F20" s="152" t="s">
        <v>56</v>
      </c>
      <c r="G20" s="152" t="s">
        <v>56</v>
      </c>
      <c r="H20" s="584"/>
      <c r="I20" s="584">
        <v>1</v>
      </c>
      <c r="J20" s="584">
        <v>1</v>
      </c>
      <c r="K20" s="590">
        <f t="shared" si="0"/>
        <v>100</v>
      </c>
      <c r="L20" s="993"/>
      <c r="M20" s="1010"/>
      <c r="N20" s="1010"/>
      <c r="O20" s="989"/>
      <c r="P20" s="1015"/>
      <c r="Q20" s="1015"/>
      <c r="R20" s="1018"/>
      <c r="S20" s="151"/>
    </row>
    <row r="21" spans="1:19" ht="47.25" customHeight="1">
      <c r="A21" s="1022"/>
      <c r="B21" s="581" t="s">
        <v>481</v>
      </c>
      <c r="C21" s="581" t="s">
        <v>343</v>
      </c>
      <c r="D21" s="581" t="s">
        <v>344</v>
      </c>
      <c r="E21" s="186" t="s">
        <v>56</v>
      </c>
      <c r="F21" s="152" t="s">
        <v>56</v>
      </c>
      <c r="G21" s="152" t="s">
        <v>56</v>
      </c>
      <c r="H21" s="584"/>
      <c r="I21" s="584">
        <v>1</v>
      </c>
      <c r="J21" s="584">
        <v>1</v>
      </c>
      <c r="K21" s="590">
        <f t="shared" si="0"/>
        <v>100</v>
      </c>
      <c r="L21" s="994"/>
      <c r="M21" s="1010"/>
      <c r="N21" s="1010"/>
      <c r="O21" s="989"/>
      <c r="P21" s="1015"/>
      <c r="Q21" s="1015"/>
      <c r="R21" s="1018"/>
      <c r="S21" s="151"/>
    </row>
    <row r="22" spans="1:19" ht="67.5" customHeight="1">
      <c r="A22" s="1022"/>
      <c r="B22" s="581" t="s">
        <v>0</v>
      </c>
      <c r="C22" s="581" t="s">
        <v>355</v>
      </c>
      <c r="D22" s="581" t="s">
        <v>345</v>
      </c>
      <c r="E22" s="583" t="s">
        <v>56</v>
      </c>
      <c r="F22" s="584" t="s">
        <v>56</v>
      </c>
      <c r="G22" s="584" t="s">
        <v>56</v>
      </c>
      <c r="H22" s="584"/>
      <c r="I22" s="584">
        <v>1</v>
      </c>
      <c r="J22" s="584">
        <v>1</v>
      </c>
      <c r="K22" s="590">
        <f t="shared" si="0"/>
        <v>100</v>
      </c>
      <c r="L22" s="994"/>
      <c r="M22" s="1010"/>
      <c r="N22" s="1010"/>
      <c r="O22" s="989"/>
      <c r="P22" s="1015"/>
      <c r="Q22" s="1015"/>
      <c r="R22" s="1018"/>
      <c r="S22" s="151"/>
    </row>
    <row r="23" spans="1:19" ht="67.5" customHeight="1" thickBot="1">
      <c r="A23" s="1022"/>
      <c r="B23" s="164" t="s">
        <v>1</v>
      </c>
      <c r="C23" s="164" t="s">
        <v>358</v>
      </c>
      <c r="D23" s="164" t="s">
        <v>2</v>
      </c>
      <c r="E23" s="187" t="s">
        <v>56</v>
      </c>
      <c r="F23" s="188" t="s">
        <v>56</v>
      </c>
      <c r="G23" s="188" t="s">
        <v>56</v>
      </c>
      <c r="H23" s="188"/>
      <c r="I23" s="188">
        <v>5</v>
      </c>
      <c r="J23" s="188">
        <v>5</v>
      </c>
      <c r="K23" s="189">
        <f>(+J23/I23)*100</f>
        <v>100</v>
      </c>
      <c r="L23" s="994"/>
      <c r="M23" s="1010"/>
      <c r="N23" s="1010"/>
      <c r="O23" s="989"/>
      <c r="P23" s="1015"/>
      <c r="Q23" s="1015"/>
      <c r="R23" s="1018"/>
      <c r="S23" s="151"/>
    </row>
    <row r="24" spans="1:19" ht="29.25" customHeight="1" thickBot="1">
      <c r="A24" s="1024"/>
      <c r="B24" s="896" t="s">
        <v>654</v>
      </c>
      <c r="C24" s="897"/>
      <c r="D24" s="952"/>
      <c r="E24" s="190">
        <v>400</v>
      </c>
      <c r="F24" s="191"/>
      <c r="G24" s="191">
        <f>SUM(G6:G9)</f>
        <v>389.03182910089225</v>
      </c>
      <c r="H24" s="559">
        <f>(+G24/E24)*100</f>
        <v>97.25795727522306</v>
      </c>
      <c r="I24" s="191">
        <v>1500</v>
      </c>
      <c r="J24" s="191"/>
      <c r="K24" s="192">
        <f>SUM(K6:K23)</f>
        <v>1489.0318291008923</v>
      </c>
      <c r="L24" s="995"/>
      <c r="M24" s="1011"/>
      <c r="N24" s="1011"/>
      <c r="O24" s="990"/>
      <c r="P24" s="1016"/>
      <c r="Q24" s="1016"/>
      <c r="R24" s="1019"/>
      <c r="S24" s="185">
        <f>(+K24/I24)*100</f>
        <v>99.26878860672616</v>
      </c>
    </row>
    <row r="25" spans="1:19" ht="18" customHeight="1" thickBot="1">
      <c r="A25" s="1004" t="s">
        <v>295</v>
      </c>
      <c r="B25" s="1005"/>
      <c r="C25" s="1005"/>
      <c r="D25" s="1005"/>
      <c r="E25" s="1005"/>
      <c r="F25" s="1005"/>
      <c r="G25" s="1005"/>
      <c r="H25" s="1005"/>
      <c r="I25" s="1005"/>
      <c r="J25" s="1005"/>
      <c r="K25" s="1005"/>
      <c r="L25" s="1006"/>
      <c r="M25" s="1006"/>
      <c r="N25" s="1006"/>
      <c r="O25" s="1006"/>
      <c r="P25" s="1006"/>
      <c r="Q25" s="1006"/>
      <c r="R25" s="1006"/>
      <c r="S25" s="1007"/>
    </row>
    <row r="26" spans="1:19" ht="81.75" customHeight="1">
      <c r="A26" s="1020" t="s">
        <v>299</v>
      </c>
      <c r="B26" s="585" t="s">
        <v>670</v>
      </c>
      <c r="C26" s="585" t="s">
        <v>671</v>
      </c>
      <c r="D26" s="203" t="s">
        <v>985</v>
      </c>
      <c r="E26" s="201">
        <v>3</v>
      </c>
      <c r="F26" s="201">
        <v>3</v>
      </c>
      <c r="G26" s="201">
        <f aca="true" t="shared" si="1" ref="G26:G31">(+F26/E26)*100</f>
        <v>100</v>
      </c>
      <c r="H26" s="201"/>
      <c r="I26" s="201">
        <v>3</v>
      </c>
      <c r="J26" s="201">
        <v>3</v>
      </c>
      <c r="K26" s="201">
        <f aca="true" t="shared" si="2" ref="K26:K31">(+J26/I26)*100</f>
        <v>100</v>
      </c>
      <c r="L26" s="978">
        <v>80</v>
      </c>
      <c r="M26" s="985">
        <v>21945211804</v>
      </c>
      <c r="N26" s="985">
        <v>21943674165</v>
      </c>
      <c r="O26" s="999">
        <f>(+N26/M26)*100</f>
        <v>99.99299328248124</v>
      </c>
      <c r="P26" s="985">
        <f>(16764353000+7440000000+3271100000+20504848834+M6)</f>
        <v>48283020834</v>
      </c>
      <c r="Q26" s="985">
        <f>(5932895153+6799123000+6356041800+8396866591.39+20000000000+N6)</f>
        <v>47787271514.39</v>
      </c>
      <c r="R26" s="999">
        <f>(+Q26/P26)*100</f>
        <v>98.9732429515659</v>
      </c>
      <c r="S26" s="156"/>
    </row>
    <row r="27" spans="1:19" ht="65.25" customHeight="1">
      <c r="A27" s="1021"/>
      <c r="B27" s="585" t="s">
        <v>672</v>
      </c>
      <c r="C27" s="585" t="s">
        <v>262</v>
      </c>
      <c r="D27" s="585" t="s">
        <v>994</v>
      </c>
      <c r="E27" s="201">
        <v>2</v>
      </c>
      <c r="F27" s="201">
        <v>2</v>
      </c>
      <c r="G27" s="201">
        <f t="shared" si="1"/>
        <v>100</v>
      </c>
      <c r="H27" s="201"/>
      <c r="I27" s="201">
        <v>6</v>
      </c>
      <c r="J27" s="201">
        <v>6</v>
      </c>
      <c r="K27" s="201">
        <f t="shared" si="2"/>
        <v>100</v>
      </c>
      <c r="L27" s="979"/>
      <c r="M27" s="986"/>
      <c r="N27" s="986"/>
      <c r="O27" s="1000"/>
      <c r="P27" s="986"/>
      <c r="Q27" s="986"/>
      <c r="R27" s="1000"/>
      <c r="S27" s="157"/>
    </row>
    <row r="28" spans="1:19" ht="39" customHeight="1">
      <c r="A28" s="1021"/>
      <c r="B28" s="585" t="s">
        <v>673</v>
      </c>
      <c r="C28" s="585" t="s">
        <v>674</v>
      </c>
      <c r="D28" s="585" t="s">
        <v>995</v>
      </c>
      <c r="E28" s="201">
        <v>1</v>
      </c>
      <c r="F28" s="201">
        <v>1</v>
      </c>
      <c r="G28" s="201">
        <f t="shared" si="1"/>
        <v>100</v>
      </c>
      <c r="H28" s="201"/>
      <c r="I28" s="201">
        <v>1</v>
      </c>
      <c r="J28" s="201">
        <v>1</v>
      </c>
      <c r="K28" s="201">
        <f t="shared" si="2"/>
        <v>100</v>
      </c>
      <c r="L28" s="979"/>
      <c r="M28" s="986"/>
      <c r="N28" s="986"/>
      <c r="O28" s="1000"/>
      <c r="P28" s="986"/>
      <c r="Q28" s="986"/>
      <c r="R28" s="1000"/>
      <c r="S28" s="157"/>
    </row>
    <row r="29" spans="1:19" ht="56.25" customHeight="1">
      <c r="A29" s="1021"/>
      <c r="B29" s="585" t="s">
        <v>25</v>
      </c>
      <c r="C29" s="585" t="s">
        <v>26</v>
      </c>
      <c r="D29" s="585" t="s">
        <v>996</v>
      </c>
      <c r="E29" s="201">
        <v>21</v>
      </c>
      <c r="F29" s="201">
        <v>21</v>
      </c>
      <c r="G29" s="201">
        <f t="shared" si="1"/>
        <v>100</v>
      </c>
      <c r="H29" s="201"/>
      <c r="I29" s="201">
        <v>21</v>
      </c>
      <c r="J29" s="201">
        <v>12</v>
      </c>
      <c r="K29" s="201">
        <f t="shared" si="2"/>
        <v>57.14285714285714</v>
      </c>
      <c r="L29" s="979"/>
      <c r="M29" s="986"/>
      <c r="N29" s="986"/>
      <c r="O29" s="1000"/>
      <c r="P29" s="986"/>
      <c r="Q29" s="986"/>
      <c r="R29" s="1000"/>
      <c r="S29" s="574"/>
    </row>
    <row r="30" spans="1:19" ht="39" customHeight="1">
      <c r="A30" s="1021"/>
      <c r="B30" s="998" t="s">
        <v>8</v>
      </c>
      <c r="C30" s="585" t="s">
        <v>298</v>
      </c>
      <c r="D30" s="585" t="s">
        <v>992</v>
      </c>
      <c r="E30" s="198">
        <v>1457</v>
      </c>
      <c r="F30" s="585">
        <v>1452</v>
      </c>
      <c r="G30" s="585">
        <f t="shared" si="1"/>
        <v>99.65682910089224</v>
      </c>
      <c r="H30" s="585"/>
      <c r="I30" s="198">
        <v>1457</v>
      </c>
      <c r="J30" s="585">
        <v>1452</v>
      </c>
      <c r="K30" s="585">
        <f t="shared" si="2"/>
        <v>99.65682910089224</v>
      </c>
      <c r="L30" s="979"/>
      <c r="M30" s="986"/>
      <c r="N30" s="986"/>
      <c r="O30" s="1000"/>
      <c r="P30" s="986"/>
      <c r="Q30" s="986"/>
      <c r="R30" s="1000"/>
      <c r="S30" s="157"/>
    </row>
    <row r="31" spans="1:19" ht="39" customHeight="1">
      <c r="A31" s="1021"/>
      <c r="B31" s="998"/>
      <c r="C31" s="585" t="s">
        <v>298</v>
      </c>
      <c r="D31" s="585" t="s">
        <v>993</v>
      </c>
      <c r="E31" s="198">
        <v>160</v>
      </c>
      <c r="F31" s="585">
        <v>143</v>
      </c>
      <c r="G31" s="585">
        <f t="shared" si="1"/>
        <v>89.375</v>
      </c>
      <c r="H31" s="585"/>
      <c r="I31" s="198">
        <v>160</v>
      </c>
      <c r="J31" s="585">
        <v>143</v>
      </c>
      <c r="K31" s="585">
        <f t="shared" si="2"/>
        <v>89.375</v>
      </c>
      <c r="L31" s="979"/>
      <c r="M31" s="986"/>
      <c r="N31" s="986"/>
      <c r="O31" s="1000"/>
      <c r="P31" s="986"/>
      <c r="Q31" s="986"/>
      <c r="R31" s="1000"/>
      <c r="S31" s="157"/>
    </row>
    <row r="32" spans="1:19" ht="39" customHeight="1">
      <c r="A32" s="1021"/>
      <c r="B32" s="202" t="s">
        <v>494</v>
      </c>
      <c r="C32" s="202" t="s">
        <v>262</v>
      </c>
      <c r="D32" s="202" t="s">
        <v>495</v>
      </c>
      <c r="E32" s="165" t="s">
        <v>623</v>
      </c>
      <c r="F32" s="159" t="s">
        <v>623</v>
      </c>
      <c r="G32" s="587" t="s">
        <v>623</v>
      </c>
      <c r="H32" s="587"/>
      <c r="I32" s="587">
        <v>1</v>
      </c>
      <c r="J32" s="587">
        <v>1</v>
      </c>
      <c r="K32" s="587">
        <v>100</v>
      </c>
      <c r="L32" s="980"/>
      <c r="M32" s="986"/>
      <c r="N32" s="986"/>
      <c r="O32" s="1000"/>
      <c r="P32" s="986"/>
      <c r="Q32" s="986"/>
      <c r="R32" s="1000"/>
      <c r="S32" s="157"/>
    </row>
    <row r="33" spans="1:19" ht="62.25" customHeight="1">
      <c r="A33" s="1021"/>
      <c r="B33" s="592" t="s">
        <v>496</v>
      </c>
      <c r="C33" s="588" t="s">
        <v>262</v>
      </c>
      <c r="D33" s="977" t="s">
        <v>486</v>
      </c>
      <c r="E33" s="165" t="s">
        <v>623</v>
      </c>
      <c r="F33" s="159" t="s">
        <v>623</v>
      </c>
      <c r="G33" s="591" t="s">
        <v>623</v>
      </c>
      <c r="H33" s="591"/>
      <c r="I33" s="591">
        <v>3</v>
      </c>
      <c r="J33" s="160" t="s">
        <v>635</v>
      </c>
      <c r="K33" s="591">
        <v>20</v>
      </c>
      <c r="L33" s="980"/>
      <c r="M33" s="986"/>
      <c r="N33" s="986"/>
      <c r="O33" s="1000"/>
      <c r="P33" s="986"/>
      <c r="Q33" s="986"/>
      <c r="R33" s="1000"/>
      <c r="S33" s="157"/>
    </row>
    <row r="34" spans="1:19" ht="54" customHeight="1">
      <c r="A34" s="1021"/>
      <c r="B34" s="588" t="s">
        <v>642</v>
      </c>
      <c r="C34" s="588" t="s">
        <v>262</v>
      </c>
      <c r="D34" s="977"/>
      <c r="E34" s="165" t="s">
        <v>623</v>
      </c>
      <c r="F34" s="159" t="s">
        <v>623</v>
      </c>
      <c r="G34" s="591" t="s">
        <v>623</v>
      </c>
      <c r="H34" s="591"/>
      <c r="I34" s="591">
        <v>1</v>
      </c>
      <c r="J34" s="160" t="s">
        <v>621</v>
      </c>
      <c r="K34" s="591">
        <v>20</v>
      </c>
      <c r="L34" s="980"/>
      <c r="M34" s="986"/>
      <c r="N34" s="986"/>
      <c r="O34" s="1000"/>
      <c r="P34" s="986"/>
      <c r="Q34" s="986"/>
      <c r="R34" s="1000"/>
      <c r="S34" s="157"/>
    </row>
    <row r="35" spans="1:19" ht="42.75" customHeight="1">
      <c r="A35" s="1021"/>
      <c r="B35" s="588" t="s">
        <v>9</v>
      </c>
      <c r="C35" s="588" t="s">
        <v>253</v>
      </c>
      <c r="D35" s="588" t="s">
        <v>10</v>
      </c>
      <c r="E35" s="589" t="s">
        <v>56</v>
      </c>
      <c r="F35" s="591" t="s">
        <v>56</v>
      </c>
      <c r="G35" s="591" t="s">
        <v>56</v>
      </c>
      <c r="H35" s="591"/>
      <c r="I35" s="161">
        <v>9000</v>
      </c>
      <c r="J35" s="161">
        <v>9000</v>
      </c>
      <c r="K35" s="591">
        <v>100</v>
      </c>
      <c r="L35" s="980"/>
      <c r="M35" s="986"/>
      <c r="N35" s="986"/>
      <c r="O35" s="1000"/>
      <c r="P35" s="986"/>
      <c r="Q35" s="986"/>
      <c r="R35" s="1000"/>
      <c r="S35" s="157"/>
    </row>
    <row r="36" spans="1:19" ht="59.25" customHeight="1">
      <c r="A36" s="1021"/>
      <c r="B36" s="588" t="s">
        <v>11</v>
      </c>
      <c r="C36" s="588" t="s">
        <v>359</v>
      </c>
      <c r="D36" s="983" t="s">
        <v>27</v>
      </c>
      <c r="E36" s="589" t="s">
        <v>56</v>
      </c>
      <c r="F36" s="591" t="s">
        <v>56</v>
      </c>
      <c r="G36" s="591" t="s">
        <v>56</v>
      </c>
      <c r="H36" s="591"/>
      <c r="I36" s="591">
        <v>62</v>
      </c>
      <c r="J36" s="591">
        <v>62</v>
      </c>
      <c r="K36" s="591">
        <v>100</v>
      </c>
      <c r="L36" s="980"/>
      <c r="M36" s="986"/>
      <c r="N36" s="986"/>
      <c r="O36" s="1000"/>
      <c r="P36" s="986"/>
      <c r="Q36" s="986"/>
      <c r="R36" s="1000"/>
      <c r="S36" s="157"/>
    </row>
    <row r="37" spans="1:19" ht="48" customHeight="1">
      <c r="A37" s="1021"/>
      <c r="B37" s="588" t="s">
        <v>641</v>
      </c>
      <c r="C37" s="588" t="s">
        <v>360</v>
      </c>
      <c r="D37" s="983"/>
      <c r="E37" s="589" t="s">
        <v>56</v>
      </c>
      <c r="F37" s="591" t="s">
        <v>56</v>
      </c>
      <c r="G37" s="591" t="s">
        <v>56</v>
      </c>
      <c r="H37" s="591"/>
      <c r="I37" s="591">
        <v>52</v>
      </c>
      <c r="J37" s="591">
        <f>(33+59+14)</f>
        <v>106</v>
      </c>
      <c r="K37" s="591">
        <v>100</v>
      </c>
      <c r="L37" s="980"/>
      <c r="M37" s="986"/>
      <c r="N37" s="986"/>
      <c r="O37" s="1000"/>
      <c r="P37" s="986"/>
      <c r="Q37" s="986"/>
      <c r="R37" s="1000"/>
      <c r="S37" s="157"/>
    </row>
    <row r="38" spans="1:19" ht="39" customHeight="1">
      <c r="A38" s="1021"/>
      <c r="B38" s="588" t="s">
        <v>13</v>
      </c>
      <c r="C38" s="588" t="s">
        <v>480</v>
      </c>
      <c r="D38" s="983" t="s">
        <v>300</v>
      </c>
      <c r="E38" s="1001" t="s">
        <v>56</v>
      </c>
      <c r="F38" s="981" t="s">
        <v>56</v>
      </c>
      <c r="G38" s="981" t="s">
        <v>56</v>
      </c>
      <c r="H38" s="981"/>
      <c r="I38" s="997">
        <v>1</v>
      </c>
      <c r="J38" s="981">
        <v>1</v>
      </c>
      <c r="K38" s="981">
        <f aca="true" t="shared" si="3" ref="K38:K43">(+J38/I38)*100</f>
        <v>100</v>
      </c>
      <c r="L38" s="980"/>
      <c r="M38" s="986"/>
      <c r="N38" s="986"/>
      <c r="O38" s="1000"/>
      <c r="P38" s="986"/>
      <c r="Q38" s="986"/>
      <c r="R38" s="1000"/>
      <c r="S38" s="157"/>
    </row>
    <row r="39" spans="1:19" ht="56.25" customHeight="1">
      <c r="A39" s="1021"/>
      <c r="B39" s="588" t="s">
        <v>28</v>
      </c>
      <c r="C39" s="588" t="s">
        <v>480</v>
      </c>
      <c r="D39" s="983"/>
      <c r="E39" s="1001"/>
      <c r="F39" s="982"/>
      <c r="G39" s="982"/>
      <c r="H39" s="982"/>
      <c r="I39" s="997"/>
      <c r="J39" s="982"/>
      <c r="K39" s="982"/>
      <c r="L39" s="980"/>
      <c r="M39" s="986"/>
      <c r="N39" s="986"/>
      <c r="O39" s="1000"/>
      <c r="P39" s="986"/>
      <c r="Q39" s="986"/>
      <c r="R39" s="1000"/>
      <c r="S39" s="157"/>
    </row>
    <row r="40" spans="1:19" ht="30.75" customHeight="1">
      <c r="A40" s="1021"/>
      <c r="B40" s="588" t="s">
        <v>20</v>
      </c>
      <c r="C40" s="588" t="s">
        <v>254</v>
      </c>
      <c r="D40" s="588" t="s">
        <v>346</v>
      </c>
      <c r="E40" s="589" t="s">
        <v>56</v>
      </c>
      <c r="F40" s="591" t="s">
        <v>56</v>
      </c>
      <c r="G40" s="591" t="s">
        <v>56</v>
      </c>
      <c r="H40" s="591"/>
      <c r="I40" s="591">
        <v>1</v>
      </c>
      <c r="J40" s="591">
        <v>5</v>
      </c>
      <c r="K40" s="591">
        <v>100</v>
      </c>
      <c r="L40" s="980"/>
      <c r="M40" s="986"/>
      <c r="N40" s="986"/>
      <c r="O40" s="1000"/>
      <c r="P40" s="986"/>
      <c r="Q40" s="986"/>
      <c r="R40" s="1000"/>
      <c r="S40" s="157"/>
    </row>
    <row r="41" spans="1:19" ht="51.75" customHeight="1">
      <c r="A41" s="1021"/>
      <c r="B41" s="588" t="s">
        <v>21</v>
      </c>
      <c r="C41" s="588" t="s">
        <v>480</v>
      </c>
      <c r="D41" s="588" t="s">
        <v>22</v>
      </c>
      <c r="E41" s="589" t="s">
        <v>56</v>
      </c>
      <c r="F41" s="591" t="s">
        <v>56</v>
      </c>
      <c r="G41" s="591" t="s">
        <v>56</v>
      </c>
      <c r="H41" s="591"/>
      <c r="I41" s="591">
        <v>2</v>
      </c>
      <c r="J41" s="591">
        <f>(2+2+2)</f>
        <v>6</v>
      </c>
      <c r="K41" s="591">
        <v>100</v>
      </c>
      <c r="L41" s="980"/>
      <c r="M41" s="986"/>
      <c r="N41" s="986"/>
      <c r="O41" s="1000"/>
      <c r="P41" s="986"/>
      <c r="Q41" s="986"/>
      <c r="R41" s="1000"/>
      <c r="S41" s="157"/>
    </row>
    <row r="42" spans="1:19" ht="37.5" customHeight="1">
      <c r="A42" s="1021"/>
      <c r="B42" s="588" t="s">
        <v>23</v>
      </c>
      <c r="C42" s="588" t="s">
        <v>418</v>
      </c>
      <c r="D42" s="588" t="s">
        <v>361</v>
      </c>
      <c r="E42" s="589" t="s">
        <v>56</v>
      </c>
      <c r="F42" s="591" t="s">
        <v>56</v>
      </c>
      <c r="G42" s="591" t="s">
        <v>56</v>
      </c>
      <c r="H42" s="591"/>
      <c r="I42" s="161">
        <v>50000</v>
      </c>
      <c r="J42" s="591">
        <v>0</v>
      </c>
      <c r="K42" s="591">
        <f t="shared" si="3"/>
        <v>0</v>
      </c>
      <c r="L42" s="980"/>
      <c r="M42" s="986"/>
      <c r="N42" s="986"/>
      <c r="O42" s="1000"/>
      <c r="P42" s="986"/>
      <c r="Q42" s="986"/>
      <c r="R42" s="1000"/>
      <c r="S42" s="158"/>
    </row>
    <row r="43" spans="1:19" ht="36.75" customHeight="1" thickBot="1">
      <c r="A43" s="1022"/>
      <c r="B43" s="635" t="s">
        <v>24</v>
      </c>
      <c r="C43" s="635" t="s">
        <v>347</v>
      </c>
      <c r="D43" s="635" t="s">
        <v>348</v>
      </c>
      <c r="E43" s="636" t="s">
        <v>56</v>
      </c>
      <c r="F43" s="586" t="s">
        <v>56</v>
      </c>
      <c r="G43" s="586" t="s">
        <v>56</v>
      </c>
      <c r="H43" s="586"/>
      <c r="I43" s="586">
        <v>20</v>
      </c>
      <c r="J43" s="586">
        <v>20</v>
      </c>
      <c r="K43" s="586">
        <f t="shared" si="3"/>
        <v>100</v>
      </c>
      <c r="L43" s="980"/>
      <c r="M43" s="987"/>
      <c r="N43" s="987"/>
      <c r="O43" s="1000"/>
      <c r="P43" s="987"/>
      <c r="Q43" s="987"/>
      <c r="R43" s="1000"/>
      <c r="S43" s="637"/>
    </row>
    <row r="44" spans="1:19" ht="18.75" thickBot="1">
      <c r="A44" s="638"/>
      <c r="B44" s="897" t="s">
        <v>659</v>
      </c>
      <c r="C44" s="897"/>
      <c r="D44" s="897"/>
      <c r="E44" s="191">
        <v>600</v>
      </c>
      <c r="F44" s="191"/>
      <c r="G44" s="191">
        <f>SUM(G26:G43)</f>
        <v>589.0318291008923</v>
      </c>
      <c r="H44" s="191">
        <f>(+G44/E44)*100</f>
        <v>98.17197151681538</v>
      </c>
      <c r="I44" s="191">
        <v>1700</v>
      </c>
      <c r="J44" s="191"/>
      <c r="K44" s="191">
        <f>SUM(K26:K43)</f>
        <v>1386.1746862437494</v>
      </c>
      <c r="L44" s="639"/>
      <c r="M44" s="639"/>
      <c r="N44" s="639"/>
      <c r="O44" s="639"/>
      <c r="P44" s="639"/>
      <c r="Q44" s="639"/>
      <c r="R44" s="639"/>
      <c r="S44" s="640">
        <f>(+K44/I44)*100</f>
        <v>81.5396874261029</v>
      </c>
    </row>
  </sheetData>
  <sheetProtection/>
  <mergeCells count="50">
    <mergeCell ref="B44:D44"/>
    <mergeCell ref="B24:D24"/>
    <mergeCell ref="A5:S5"/>
    <mergeCell ref="C17:C20"/>
    <mergeCell ref="P6:P24"/>
    <mergeCell ref="Q6:Q24"/>
    <mergeCell ref="R6:R24"/>
    <mergeCell ref="M6:M24"/>
    <mergeCell ref="A26:A43"/>
    <mergeCell ref="A6:A24"/>
    <mergeCell ref="A1:S1"/>
    <mergeCell ref="A2:S2"/>
    <mergeCell ref="A3:A4"/>
    <mergeCell ref="C3:L3"/>
    <mergeCell ref="M3:R3"/>
    <mergeCell ref="S3:S4"/>
    <mergeCell ref="B17:B20"/>
    <mergeCell ref="B8:B9"/>
    <mergeCell ref="B13:B16"/>
    <mergeCell ref="A25:S25"/>
    <mergeCell ref="E13:E16"/>
    <mergeCell ref="F13:F16"/>
    <mergeCell ref="C13:C16"/>
    <mergeCell ref="N6:N24"/>
    <mergeCell ref="D10:D12"/>
    <mergeCell ref="G13:G16"/>
    <mergeCell ref="B30:B31"/>
    <mergeCell ref="Q26:Q43"/>
    <mergeCell ref="R26:R43"/>
    <mergeCell ref="F38:F39"/>
    <mergeCell ref="G38:G39"/>
    <mergeCell ref="O26:O43"/>
    <mergeCell ref="D36:D37"/>
    <mergeCell ref="N26:N43"/>
    <mergeCell ref="M26:M43"/>
    <mergeCell ref="E38:E39"/>
    <mergeCell ref="P26:P43"/>
    <mergeCell ref="O6:O24"/>
    <mergeCell ref="L6:L24"/>
    <mergeCell ref="K13:K16"/>
    <mergeCell ref="H38:H39"/>
    <mergeCell ref="I38:I39"/>
    <mergeCell ref="D33:D34"/>
    <mergeCell ref="L26:L43"/>
    <mergeCell ref="J38:J39"/>
    <mergeCell ref="K38:K39"/>
    <mergeCell ref="D38:D39"/>
    <mergeCell ref="H13:H16"/>
    <mergeCell ref="I13:I16"/>
    <mergeCell ref="J13:J1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40" r:id="rId1"/>
  <rowBreaks count="1" manualBreakCount="1">
    <brk id="2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67"/>
  <sheetViews>
    <sheetView view="pageBreakPreview" zoomScale="60" zoomScaleNormal="60" zoomScalePageLayoutView="0" workbookViewId="0" topLeftCell="A37">
      <selection activeCell="U41" sqref="U41:V44"/>
    </sheetView>
  </sheetViews>
  <sheetFormatPr defaultColWidth="11.421875" defaultRowHeight="12.75"/>
  <cols>
    <col min="1" max="1" width="5.421875" style="0" customWidth="1"/>
    <col min="2" max="2" width="26.140625" style="0" customWidth="1"/>
    <col min="3" max="3" width="74.28125" style="0" customWidth="1"/>
    <col min="4" max="4" width="24.421875" style="0" customWidth="1"/>
    <col min="5" max="5" width="56.421875" style="0" customWidth="1"/>
    <col min="6" max="6" width="8.57421875" style="0" customWidth="1"/>
    <col min="7" max="7" width="9.57421875" style="0" customWidth="1"/>
    <col min="8" max="8" width="8.8515625" style="0" customWidth="1"/>
    <col min="9" max="9" width="6.57421875" style="0" customWidth="1"/>
    <col min="10" max="10" width="9.7109375" style="0" customWidth="1"/>
    <col min="11" max="11" width="10.00390625" style="0" customWidth="1"/>
    <col min="12" max="12" width="8.7109375" style="0" customWidth="1"/>
    <col min="13" max="13" width="6.7109375" style="0" customWidth="1"/>
    <col min="14" max="14" width="3.57421875" style="0" customWidth="1"/>
    <col min="15" max="15" width="6.421875" style="0" customWidth="1"/>
    <col min="16" max="16" width="6.7109375" style="0" customWidth="1"/>
    <col min="17" max="17" width="3.8515625" style="0" customWidth="1"/>
    <col min="18" max="18" width="4.00390625" style="0" customWidth="1"/>
    <col min="19" max="19" width="6.421875" style="0" customWidth="1"/>
    <col min="20" max="20" width="9.140625" style="0" customWidth="1"/>
    <col min="21" max="21" width="23.00390625" style="0" bestFit="1" customWidth="1"/>
    <col min="22" max="22" width="20.28125" style="0" customWidth="1"/>
  </cols>
  <sheetData>
    <row r="1" ht="13.5" thickBot="1"/>
    <row r="2" spans="2:20" ht="45" customHeight="1" thickBot="1">
      <c r="B2" s="874" t="s">
        <v>646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6"/>
    </row>
    <row r="3" spans="2:20" ht="26.25" customHeight="1" thickBot="1">
      <c r="B3" s="874" t="s">
        <v>969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6"/>
    </row>
    <row r="4" spans="2:20" s="3" customFormat="1" ht="57.75" customHeight="1" thickBot="1">
      <c r="B4" s="923" t="s">
        <v>695</v>
      </c>
      <c r="C4" s="11"/>
      <c r="D4" s="874" t="s">
        <v>541</v>
      </c>
      <c r="E4" s="875"/>
      <c r="F4" s="875"/>
      <c r="G4" s="875"/>
      <c r="H4" s="875"/>
      <c r="I4" s="875"/>
      <c r="J4" s="875"/>
      <c r="K4" s="915"/>
      <c r="L4" s="915"/>
      <c r="M4" s="915"/>
      <c r="N4" s="874" t="s">
        <v>542</v>
      </c>
      <c r="O4" s="875"/>
      <c r="P4" s="875"/>
      <c r="Q4" s="875"/>
      <c r="R4" s="875"/>
      <c r="S4" s="875"/>
      <c r="T4" s="920" t="s">
        <v>269</v>
      </c>
    </row>
    <row r="5" spans="2:20" s="3" customFormat="1" ht="306.75" customHeight="1" thickBot="1">
      <c r="B5" s="924"/>
      <c r="C5" s="12" t="s">
        <v>439</v>
      </c>
      <c r="D5" s="12" t="s">
        <v>372</v>
      </c>
      <c r="E5" s="12" t="s">
        <v>294</v>
      </c>
      <c r="F5" s="14" t="s">
        <v>271</v>
      </c>
      <c r="G5" s="14" t="s">
        <v>272</v>
      </c>
      <c r="H5" s="15" t="s">
        <v>284</v>
      </c>
      <c r="I5" s="14" t="s">
        <v>285</v>
      </c>
      <c r="J5" s="14" t="s">
        <v>650</v>
      </c>
      <c r="K5" s="14" t="s">
        <v>286</v>
      </c>
      <c r="L5" s="16" t="s">
        <v>287</v>
      </c>
      <c r="M5" s="14" t="s">
        <v>288</v>
      </c>
      <c r="N5" s="14" t="s">
        <v>270</v>
      </c>
      <c r="O5" s="15" t="s">
        <v>289</v>
      </c>
      <c r="P5" s="14" t="s">
        <v>290</v>
      </c>
      <c r="Q5" s="14" t="s">
        <v>696</v>
      </c>
      <c r="R5" s="15" t="s">
        <v>291</v>
      </c>
      <c r="S5" s="16" t="s">
        <v>292</v>
      </c>
      <c r="T5" s="921"/>
    </row>
    <row r="6" spans="2:20" s="3" customFormat="1" ht="16.5" thickBot="1">
      <c r="B6" s="1031" t="s">
        <v>303</v>
      </c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3"/>
      <c r="N6" s="1032"/>
      <c r="O6" s="1032"/>
      <c r="P6" s="1032"/>
      <c r="Q6" s="1032"/>
      <c r="R6" s="1032"/>
      <c r="S6" s="1032"/>
      <c r="T6" s="1034"/>
    </row>
    <row r="7" spans="2:20" ht="40.5" customHeight="1" thickBot="1">
      <c r="B7" s="1036" t="s">
        <v>51</v>
      </c>
      <c r="C7" s="422" t="s">
        <v>675</v>
      </c>
      <c r="D7" s="212" t="s">
        <v>262</v>
      </c>
      <c r="E7" s="213" t="s">
        <v>676</v>
      </c>
      <c r="F7" s="229">
        <v>1</v>
      </c>
      <c r="G7" s="229">
        <v>1</v>
      </c>
      <c r="H7" s="229">
        <f>(+G7/F7)*100</f>
        <v>100</v>
      </c>
      <c r="I7" s="645"/>
      <c r="J7" s="229">
        <v>1</v>
      </c>
      <c r="K7" s="229">
        <v>1</v>
      </c>
      <c r="L7" s="230">
        <f>(+K7/J7)*100</f>
        <v>100</v>
      </c>
      <c r="M7" s="1040">
        <v>10</v>
      </c>
      <c r="N7" s="1056">
        <v>234360000</v>
      </c>
      <c r="O7" s="883">
        <v>234228497</v>
      </c>
      <c r="P7" s="1053">
        <f>(+O7/N7)*100</f>
        <v>99.94388846219492</v>
      </c>
      <c r="Q7" s="883">
        <f>(1040015000+1050000000+1200000000+234360000)</f>
        <v>3524375000</v>
      </c>
      <c r="R7" s="883">
        <f>(386292619+611126538+431828581+1011250000+O7)</f>
        <v>2674726235</v>
      </c>
      <c r="S7" s="1045">
        <f>(+R7/Q7)*100</f>
        <v>75.89221450611811</v>
      </c>
      <c r="T7" s="251"/>
    </row>
    <row r="8" spans="2:20" ht="40.5" customHeight="1" thickBot="1" thickTop="1">
      <c r="B8" s="1036"/>
      <c r="C8" s="423" t="s">
        <v>677</v>
      </c>
      <c r="D8" s="593" t="s">
        <v>265</v>
      </c>
      <c r="E8" s="1060" t="s">
        <v>678</v>
      </c>
      <c r="F8" s="232">
        <v>100</v>
      </c>
      <c r="G8" s="424">
        <v>100</v>
      </c>
      <c r="H8" s="232">
        <f aca="true" t="shared" si="0" ref="H8:H14">(+G8/F8)*100</f>
        <v>100</v>
      </c>
      <c r="I8" s="643"/>
      <c r="J8" s="232">
        <v>100</v>
      </c>
      <c r="K8" s="424">
        <v>100</v>
      </c>
      <c r="L8" s="646">
        <f aca="true" t="shared" si="1" ref="L8:L14">(+K8/J8)*100</f>
        <v>100</v>
      </c>
      <c r="M8" s="1040"/>
      <c r="N8" s="1057"/>
      <c r="O8" s="884"/>
      <c r="P8" s="1054"/>
      <c r="Q8" s="884"/>
      <c r="R8" s="884"/>
      <c r="S8" s="1046"/>
      <c r="T8" s="251"/>
    </row>
    <row r="9" spans="2:20" ht="34.5" customHeight="1" thickBot="1" thickTop="1">
      <c r="B9" s="1036"/>
      <c r="C9" s="423" t="s">
        <v>498</v>
      </c>
      <c r="D9" s="593" t="s">
        <v>262</v>
      </c>
      <c r="E9" s="1060"/>
      <c r="F9" s="232">
        <v>3</v>
      </c>
      <c r="G9" s="424">
        <v>2.1</v>
      </c>
      <c r="H9" s="232">
        <f t="shared" si="0"/>
        <v>70</v>
      </c>
      <c r="I9" s="643"/>
      <c r="J9" s="232">
        <v>3</v>
      </c>
      <c r="K9" s="424">
        <v>2.1</v>
      </c>
      <c r="L9" s="646">
        <f t="shared" si="1"/>
        <v>70</v>
      </c>
      <c r="M9" s="1040"/>
      <c r="N9" s="1057"/>
      <c r="O9" s="884"/>
      <c r="P9" s="1054"/>
      <c r="Q9" s="884"/>
      <c r="R9" s="884"/>
      <c r="S9" s="1046"/>
      <c r="T9" s="251"/>
    </row>
    <row r="10" spans="2:20" ht="40.5" customHeight="1" thickBot="1" thickTop="1">
      <c r="B10" s="1036"/>
      <c r="C10" s="1086" t="s">
        <v>32</v>
      </c>
      <c r="D10" s="593" t="s">
        <v>265</v>
      </c>
      <c r="E10" s="593" t="s">
        <v>679</v>
      </c>
      <c r="F10" s="232">
        <v>100</v>
      </c>
      <c r="G10" s="424">
        <v>100</v>
      </c>
      <c r="H10" s="232">
        <f t="shared" si="0"/>
        <v>100</v>
      </c>
      <c r="I10" s="643"/>
      <c r="J10" s="232">
        <v>100</v>
      </c>
      <c r="K10" s="424">
        <v>100</v>
      </c>
      <c r="L10" s="646">
        <f t="shared" si="1"/>
        <v>100</v>
      </c>
      <c r="M10" s="1040"/>
      <c r="N10" s="1057"/>
      <c r="O10" s="884"/>
      <c r="P10" s="1054"/>
      <c r="Q10" s="884"/>
      <c r="R10" s="884"/>
      <c r="S10" s="1046"/>
      <c r="T10" s="251"/>
    </row>
    <row r="11" spans="2:20" ht="27" customHeight="1" thickBot="1" thickTop="1">
      <c r="B11" s="1036"/>
      <c r="C11" s="1086"/>
      <c r="D11" s="593" t="s">
        <v>680</v>
      </c>
      <c r="E11" s="593" t="s">
        <v>60</v>
      </c>
      <c r="F11" s="232">
        <v>10000</v>
      </c>
      <c r="G11" s="424">
        <v>10000</v>
      </c>
      <c r="H11" s="232">
        <f t="shared" si="0"/>
        <v>100</v>
      </c>
      <c r="I11" s="643"/>
      <c r="J11" s="232">
        <v>10000</v>
      </c>
      <c r="K11" s="424">
        <v>10000</v>
      </c>
      <c r="L11" s="646">
        <f t="shared" si="1"/>
        <v>100</v>
      </c>
      <c r="M11" s="1040"/>
      <c r="N11" s="1057"/>
      <c r="O11" s="884"/>
      <c r="P11" s="1054"/>
      <c r="Q11" s="884"/>
      <c r="R11" s="884"/>
      <c r="S11" s="1046"/>
      <c r="T11" s="251"/>
    </row>
    <row r="12" spans="2:20" ht="57.75" customHeight="1" thickBot="1" thickTop="1">
      <c r="B12" s="1036"/>
      <c r="C12" s="423" t="s">
        <v>499</v>
      </c>
      <c r="D12" s="593" t="s">
        <v>257</v>
      </c>
      <c r="E12" s="593" t="s">
        <v>257</v>
      </c>
      <c r="F12" s="232">
        <v>100</v>
      </c>
      <c r="G12" s="424">
        <v>100</v>
      </c>
      <c r="H12" s="232">
        <f t="shared" si="0"/>
        <v>100</v>
      </c>
      <c r="I12" s="643"/>
      <c r="J12" s="232">
        <v>250</v>
      </c>
      <c r="K12" s="424">
        <v>250</v>
      </c>
      <c r="L12" s="646">
        <f t="shared" si="1"/>
        <v>100</v>
      </c>
      <c r="M12" s="1040"/>
      <c r="N12" s="1057"/>
      <c r="O12" s="884"/>
      <c r="P12" s="1054"/>
      <c r="Q12" s="884"/>
      <c r="R12" s="884"/>
      <c r="S12" s="1046"/>
      <c r="T12" s="251"/>
    </row>
    <row r="13" spans="2:20" ht="40.5" customHeight="1" thickBot="1" thickTop="1">
      <c r="B13" s="1036"/>
      <c r="C13" s="423" t="s">
        <v>681</v>
      </c>
      <c r="D13" s="593" t="s">
        <v>501</v>
      </c>
      <c r="E13" s="593" t="s">
        <v>502</v>
      </c>
      <c r="F13" s="232">
        <v>2</v>
      </c>
      <c r="G13" s="424">
        <v>2</v>
      </c>
      <c r="H13" s="232">
        <f t="shared" si="0"/>
        <v>100</v>
      </c>
      <c r="I13" s="643"/>
      <c r="J13" s="232">
        <v>10</v>
      </c>
      <c r="K13" s="424">
        <v>10</v>
      </c>
      <c r="L13" s="646">
        <f t="shared" si="1"/>
        <v>100</v>
      </c>
      <c r="M13" s="1040"/>
      <c r="N13" s="1057"/>
      <c r="O13" s="884"/>
      <c r="P13" s="1054"/>
      <c r="Q13" s="884"/>
      <c r="R13" s="884"/>
      <c r="S13" s="1046"/>
      <c r="T13" s="251"/>
    </row>
    <row r="14" spans="2:20" ht="40.5" customHeight="1" thickBot="1" thickTop="1">
      <c r="B14" s="1036"/>
      <c r="C14" s="423" t="s">
        <v>682</v>
      </c>
      <c r="D14" s="593" t="s">
        <v>265</v>
      </c>
      <c r="E14" s="593" t="s">
        <v>683</v>
      </c>
      <c r="F14" s="232">
        <v>25</v>
      </c>
      <c r="G14" s="424">
        <v>25</v>
      </c>
      <c r="H14" s="232">
        <f t="shared" si="0"/>
        <v>100</v>
      </c>
      <c r="I14" s="643"/>
      <c r="J14" s="232">
        <v>25</v>
      </c>
      <c r="K14" s="424">
        <v>25</v>
      </c>
      <c r="L14" s="646">
        <f t="shared" si="1"/>
        <v>100</v>
      </c>
      <c r="M14" s="1040"/>
      <c r="N14" s="1057"/>
      <c r="O14" s="884"/>
      <c r="P14" s="1054"/>
      <c r="Q14" s="884"/>
      <c r="R14" s="884"/>
      <c r="S14" s="1046"/>
      <c r="T14" s="251"/>
    </row>
    <row r="15" spans="2:20" ht="40.5" customHeight="1" thickBot="1" thickTop="1">
      <c r="B15" s="1036"/>
      <c r="C15" s="664" t="s">
        <v>643</v>
      </c>
      <c r="D15" s="239" t="s">
        <v>265</v>
      </c>
      <c r="E15" s="1059" t="s">
        <v>500</v>
      </c>
      <c r="F15" s="578" t="s">
        <v>56</v>
      </c>
      <c r="G15" s="578" t="s">
        <v>56</v>
      </c>
      <c r="H15" s="578" t="s">
        <v>56</v>
      </c>
      <c r="I15" s="644"/>
      <c r="J15" s="241">
        <v>100</v>
      </c>
      <c r="K15" s="578">
        <v>100</v>
      </c>
      <c r="L15" s="576">
        <v>100</v>
      </c>
      <c r="M15" s="1040"/>
      <c r="N15" s="1057"/>
      <c r="O15" s="884"/>
      <c r="P15" s="1054"/>
      <c r="Q15" s="884"/>
      <c r="R15" s="884"/>
      <c r="S15" s="1046"/>
      <c r="T15" s="251"/>
    </row>
    <row r="16" spans="2:20" ht="58.5" customHeight="1" thickBot="1" thickTop="1">
      <c r="B16" s="1036"/>
      <c r="C16" s="664" t="s">
        <v>644</v>
      </c>
      <c r="D16" s="239" t="s">
        <v>262</v>
      </c>
      <c r="E16" s="1059"/>
      <c r="F16" s="578" t="s">
        <v>56</v>
      </c>
      <c r="G16" s="578" t="s">
        <v>56</v>
      </c>
      <c r="H16" s="578" t="s">
        <v>56</v>
      </c>
      <c r="I16" s="644"/>
      <c r="J16" s="241">
        <v>1</v>
      </c>
      <c r="K16" s="578" t="s">
        <v>621</v>
      </c>
      <c r="L16" s="576">
        <v>20</v>
      </c>
      <c r="M16" s="1040"/>
      <c r="N16" s="1057"/>
      <c r="O16" s="884"/>
      <c r="P16" s="1054"/>
      <c r="Q16" s="884"/>
      <c r="R16" s="884"/>
      <c r="S16" s="1046"/>
      <c r="T16" s="251"/>
    </row>
    <row r="17" spans="2:20" ht="34.5" customHeight="1" thickBot="1" thickTop="1">
      <c r="B17" s="1036"/>
      <c r="C17" s="664" t="s">
        <v>497</v>
      </c>
      <c r="D17" s="239" t="s">
        <v>262</v>
      </c>
      <c r="E17" s="1059"/>
      <c r="F17" s="578" t="s">
        <v>56</v>
      </c>
      <c r="G17" s="578" t="s">
        <v>56</v>
      </c>
      <c r="H17" s="578" t="s">
        <v>56</v>
      </c>
      <c r="I17" s="644"/>
      <c r="J17" s="241">
        <v>1</v>
      </c>
      <c r="K17" s="578" t="s">
        <v>621</v>
      </c>
      <c r="L17" s="576">
        <v>20</v>
      </c>
      <c r="M17" s="1040"/>
      <c r="N17" s="1057"/>
      <c r="O17" s="884"/>
      <c r="P17" s="1054"/>
      <c r="Q17" s="884"/>
      <c r="R17" s="884"/>
      <c r="S17" s="1046"/>
      <c r="T17" s="251"/>
    </row>
    <row r="18" spans="2:20" ht="57.75" customHeight="1" thickBot="1" thickTop="1">
      <c r="B18" s="1036"/>
      <c r="C18" s="664" t="s">
        <v>499</v>
      </c>
      <c r="D18" s="662" t="s">
        <v>257</v>
      </c>
      <c r="E18" s="662" t="s">
        <v>257</v>
      </c>
      <c r="F18" s="578" t="s">
        <v>56</v>
      </c>
      <c r="G18" s="578" t="s">
        <v>56</v>
      </c>
      <c r="H18" s="578" t="s">
        <v>56</v>
      </c>
      <c r="I18" s="644"/>
      <c r="J18" s="241">
        <v>350</v>
      </c>
      <c r="K18" s="578">
        <v>100</v>
      </c>
      <c r="L18" s="576">
        <v>100</v>
      </c>
      <c r="M18" s="1040"/>
      <c r="N18" s="1057"/>
      <c r="O18" s="884"/>
      <c r="P18" s="1054"/>
      <c r="Q18" s="884"/>
      <c r="R18" s="884"/>
      <c r="S18" s="1046"/>
      <c r="T18" s="251"/>
    </row>
    <row r="19" spans="2:20" ht="42" customHeight="1" thickBot="1" thickTop="1">
      <c r="B19" s="1036"/>
      <c r="C19" s="664" t="s">
        <v>36</v>
      </c>
      <c r="D19" s="662" t="s">
        <v>501</v>
      </c>
      <c r="E19" s="662" t="s">
        <v>502</v>
      </c>
      <c r="F19" s="578" t="s">
        <v>56</v>
      </c>
      <c r="G19" s="578" t="s">
        <v>56</v>
      </c>
      <c r="H19" s="578" t="s">
        <v>56</v>
      </c>
      <c r="I19" s="644"/>
      <c r="J19" s="578">
        <v>10</v>
      </c>
      <c r="K19" s="578">
        <v>10</v>
      </c>
      <c r="L19" s="576">
        <v>100</v>
      </c>
      <c r="M19" s="1040"/>
      <c r="N19" s="1057"/>
      <c r="O19" s="884"/>
      <c r="P19" s="1054"/>
      <c r="Q19" s="884"/>
      <c r="R19" s="884"/>
      <c r="S19" s="1046"/>
      <c r="T19" s="251"/>
    </row>
    <row r="20" spans="2:20" ht="55.5" customHeight="1" thickBot="1" thickTop="1">
      <c r="B20" s="1036"/>
      <c r="C20" s="244" t="s">
        <v>29</v>
      </c>
      <c r="D20" s="245" t="s">
        <v>30</v>
      </c>
      <c r="E20" s="245" t="s">
        <v>301</v>
      </c>
      <c r="F20" s="578" t="s">
        <v>56</v>
      </c>
      <c r="G20" s="578" t="s">
        <v>56</v>
      </c>
      <c r="H20" s="578" t="s">
        <v>56</v>
      </c>
      <c r="I20" s="644"/>
      <c r="J20" s="578">
        <v>1</v>
      </c>
      <c r="K20" s="578">
        <v>1</v>
      </c>
      <c r="L20" s="576">
        <f>(+K20/J20)*100</f>
        <v>100</v>
      </c>
      <c r="M20" s="1040"/>
      <c r="N20" s="1057"/>
      <c r="O20" s="884"/>
      <c r="P20" s="1054"/>
      <c r="Q20" s="884"/>
      <c r="R20" s="884"/>
      <c r="S20" s="1046"/>
      <c r="T20" s="251"/>
    </row>
    <row r="21" spans="2:22" ht="46.5" thickBot="1" thickTop="1">
      <c r="B21" s="1036"/>
      <c r="C21" s="244" t="s">
        <v>31</v>
      </c>
      <c r="D21" s="245" t="s">
        <v>262</v>
      </c>
      <c r="E21" s="245" t="s">
        <v>302</v>
      </c>
      <c r="F21" s="578" t="s">
        <v>56</v>
      </c>
      <c r="G21" s="578" t="s">
        <v>56</v>
      </c>
      <c r="H21" s="578" t="s">
        <v>56</v>
      </c>
      <c r="I21" s="644"/>
      <c r="J21" s="578">
        <v>1</v>
      </c>
      <c r="K21" s="578">
        <v>1</v>
      </c>
      <c r="L21" s="576">
        <f aca="true" t="shared" si="2" ref="L21:L27">(+K21/J21)*100</f>
        <v>100</v>
      </c>
      <c r="M21" s="1041"/>
      <c r="N21" s="1057"/>
      <c r="O21" s="884"/>
      <c r="P21" s="1054"/>
      <c r="Q21" s="884"/>
      <c r="R21" s="884"/>
      <c r="S21" s="1046"/>
      <c r="T21" s="694"/>
      <c r="U21" s="233"/>
      <c r="V21" s="233"/>
    </row>
    <row r="22" spans="2:22" ht="36" customHeight="1" thickBot="1" thickTop="1">
      <c r="B22" s="1037"/>
      <c r="C22" s="1035" t="s">
        <v>32</v>
      </c>
      <c r="D22" s="1050" t="s">
        <v>33</v>
      </c>
      <c r="E22" s="245" t="s">
        <v>255</v>
      </c>
      <c r="F22" s="578" t="s">
        <v>56</v>
      </c>
      <c r="G22" s="578" t="s">
        <v>56</v>
      </c>
      <c r="H22" s="578" t="s">
        <v>56</v>
      </c>
      <c r="I22" s="644"/>
      <c r="J22" s="577">
        <v>10000</v>
      </c>
      <c r="K22" s="577">
        <v>10000</v>
      </c>
      <c r="L22" s="576">
        <f t="shared" si="2"/>
        <v>100</v>
      </c>
      <c r="M22" s="1041"/>
      <c r="N22" s="1057"/>
      <c r="O22" s="884"/>
      <c r="P22" s="1054"/>
      <c r="Q22" s="884"/>
      <c r="R22" s="884"/>
      <c r="S22" s="1046"/>
      <c r="T22" s="252"/>
      <c r="U22" s="1"/>
      <c r="V22" s="1"/>
    </row>
    <row r="23" spans="2:22" ht="23.25" customHeight="1" thickBot="1" thickTop="1">
      <c r="B23" s="1037"/>
      <c r="C23" s="1035"/>
      <c r="D23" s="1050"/>
      <c r="E23" s="245" t="s">
        <v>60</v>
      </c>
      <c r="F23" s="578" t="s">
        <v>56</v>
      </c>
      <c r="G23" s="578" t="s">
        <v>56</v>
      </c>
      <c r="H23" s="578" t="s">
        <v>56</v>
      </c>
      <c r="I23" s="578"/>
      <c r="J23" s="578">
        <v>100</v>
      </c>
      <c r="K23" s="578">
        <v>100</v>
      </c>
      <c r="L23" s="576">
        <f t="shared" si="2"/>
        <v>100</v>
      </c>
      <c r="M23" s="1041"/>
      <c r="N23" s="1057"/>
      <c r="O23" s="884"/>
      <c r="P23" s="1054"/>
      <c r="Q23" s="884"/>
      <c r="R23" s="884"/>
      <c r="S23" s="1046"/>
      <c r="T23" s="252"/>
      <c r="U23" s="1"/>
      <c r="V23" s="1"/>
    </row>
    <row r="24" spans="2:22" ht="38.25" customHeight="1" thickBot="1" thickTop="1">
      <c r="B24" s="1037"/>
      <c r="C24" s="244" t="s">
        <v>34</v>
      </c>
      <c r="D24" s="245" t="s">
        <v>257</v>
      </c>
      <c r="E24" s="245" t="s">
        <v>257</v>
      </c>
      <c r="F24" s="578" t="s">
        <v>56</v>
      </c>
      <c r="G24" s="578" t="s">
        <v>56</v>
      </c>
      <c r="H24" s="578" t="s">
        <v>56</v>
      </c>
      <c r="I24" s="578"/>
      <c r="J24" s="578">
        <v>150</v>
      </c>
      <c r="K24" s="578">
        <v>150</v>
      </c>
      <c r="L24" s="576">
        <f t="shared" si="2"/>
        <v>100</v>
      </c>
      <c r="M24" s="1041"/>
      <c r="N24" s="1057"/>
      <c r="O24" s="884"/>
      <c r="P24" s="1054"/>
      <c r="Q24" s="884"/>
      <c r="R24" s="884"/>
      <c r="S24" s="1046"/>
      <c r="T24" s="580"/>
      <c r="U24" s="1"/>
      <c r="V24" s="1"/>
    </row>
    <row r="25" spans="2:22" ht="24" customHeight="1" thickBot="1" thickTop="1">
      <c r="B25" s="1037"/>
      <c r="C25" s="244" t="s">
        <v>35</v>
      </c>
      <c r="D25" s="245" t="s">
        <v>349</v>
      </c>
      <c r="E25" s="245" t="s">
        <v>349</v>
      </c>
      <c r="F25" s="578" t="s">
        <v>56</v>
      </c>
      <c r="G25" s="578" t="s">
        <v>56</v>
      </c>
      <c r="H25" s="578" t="s">
        <v>56</v>
      </c>
      <c r="I25" s="578"/>
      <c r="J25" s="578">
        <v>1</v>
      </c>
      <c r="K25" s="578">
        <v>1</v>
      </c>
      <c r="L25" s="576">
        <f t="shared" si="2"/>
        <v>100</v>
      </c>
      <c r="M25" s="1041"/>
      <c r="N25" s="1057"/>
      <c r="O25" s="884"/>
      <c r="P25" s="1054"/>
      <c r="Q25" s="884"/>
      <c r="R25" s="884"/>
      <c r="S25" s="1046"/>
      <c r="T25" s="252"/>
      <c r="U25" s="1"/>
      <c r="V25" s="1"/>
    </row>
    <row r="26" spans="2:22" ht="21" customHeight="1" thickBot="1" thickTop="1">
      <c r="B26" s="1038"/>
      <c r="C26" s="244" t="s">
        <v>435</v>
      </c>
      <c r="D26" s="245" t="s">
        <v>262</v>
      </c>
      <c r="E26" s="245" t="s">
        <v>61</v>
      </c>
      <c r="F26" s="578" t="s">
        <v>56</v>
      </c>
      <c r="G26" s="578" t="s">
        <v>56</v>
      </c>
      <c r="H26" s="578" t="s">
        <v>56</v>
      </c>
      <c r="I26" s="578"/>
      <c r="J26" s="578">
        <v>1</v>
      </c>
      <c r="K26" s="578">
        <v>1</v>
      </c>
      <c r="L26" s="576">
        <f t="shared" si="2"/>
        <v>100</v>
      </c>
      <c r="M26" s="1041"/>
      <c r="N26" s="1057"/>
      <c r="O26" s="884"/>
      <c r="P26" s="1054"/>
      <c r="Q26" s="884"/>
      <c r="R26" s="884"/>
      <c r="S26" s="1046"/>
      <c r="T26" s="252"/>
      <c r="U26" s="1"/>
      <c r="V26" s="1"/>
    </row>
    <row r="27" spans="2:22" ht="31.5" customHeight="1" thickBot="1" thickTop="1">
      <c r="B27" s="1038"/>
      <c r="C27" s="244" t="s">
        <v>436</v>
      </c>
      <c r="D27" s="245" t="s">
        <v>264</v>
      </c>
      <c r="E27" s="245" t="s">
        <v>48</v>
      </c>
      <c r="F27" s="578" t="s">
        <v>56</v>
      </c>
      <c r="G27" s="578" t="s">
        <v>56</v>
      </c>
      <c r="H27" s="578" t="s">
        <v>56</v>
      </c>
      <c r="I27" s="578"/>
      <c r="J27" s="578">
        <v>150</v>
      </c>
      <c r="K27" s="578">
        <v>150</v>
      </c>
      <c r="L27" s="576">
        <f t="shared" si="2"/>
        <v>100</v>
      </c>
      <c r="M27" s="1041"/>
      <c r="N27" s="1057"/>
      <c r="O27" s="884"/>
      <c r="P27" s="1054"/>
      <c r="Q27" s="884"/>
      <c r="R27" s="884"/>
      <c r="S27" s="1046"/>
      <c r="T27" s="690"/>
      <c r="U27" s="1"/>
      <c r="V27" s="1"/>
    </row>
    <row r="28" spans="2:22" ht="35.25" customHeight="1" thickBot="1" thickTop="1">
      <c r="B28" s="1038"/>
      <c r="C28" s="244" t="s">
        <v>437</v>
      </c>
      <c r="D28" s="245" t="s">
        <v>264</v>
      </c>
      <c r="E28" s="245" t="s">
        <v>49</v>
      </c>
      <c r="F28" s="578" t="s">
        <v>56</v>
      </c>
      <c r="G28" s="578" t="s">
        <v>56</v>
      </c>
      <c r="H28" s="578" t="s">
        <v>56</v>
      </c>
      <c r="I28" s="578"/>
      <c r="J28" s="578">
        <v>150</v>
      </c>
      <c r="K28" s="578">
        <v>150</v>
      </c>
      <c r="L28" s="576">
        <f>(+K28/J28)*100</f>
        <v>100</v>
      </c>
      <c r="M28" s="1041"/>
      <c r="N28" s="1057"/>
      <c r="O28" s="884"/>
      <c r="P28" s="1054"/>
      <c r="Q28" s="884"/>
      <c r="R28" s="884"/>
      <c r="S28" s="1046"/>
      <c r="T28" s="250"/>
      <c r="U28" s="1"/>
      <c r="V28" s="1"/>
    </row>
    <row r="29" spans="2:22" ht="33" customHeight="1" thickBot="1" thickTop="1">
      <c r="B29" s="1038"/>
      <c r="C29" s="246" t="s">
        <v>438</v>
      </c>
      <c r="D29" s="247" t="s">
        <v>264</v>
      </c>
      <c r="E29" s="247" t="s">
        <v>50</v>
      </c>
      <c r="F29" s="102" t="s">
        <v>56</v>
      </c>
      <c r="G29" s="102" t="s">
        <v>56</v>
      </c>
      <c r="H29" s="102" t="s">
        <v>56</v>
      </c>
      <c r="I29" s="102"/>
      <c r="J29" s="102">
        <v>25</v>
      </c>
      <c r="K29" s="102">
        <v>25</v>
      </c>
      <c r="L29" s="181">
        <f>(+K29/J29)*100</f>
        <v>100</v>
      </c>
      <c r="M29" s="1041"/>
      <c r="N29" s="1057"/>
      <c r="O29" s="884"/>
      <c r="P29" s="1054"/>
      <c r="Q29" s="884"/>
      <c r="R29" s="884"/>
      <c r="S29" s="1046"/>
      <c r="T29" s="250"/>
      <c r="U29" s="1"/>
      <c r="V29" s="1"/>
    </row>
    <row r="30" spans="2:22" ht="36" customHeight="1" thickBot="1" thickTop="1">
      <c r="B30" s="1039"/>
      <c r="C30" s="1029" t="s">
        <v>659</v>
      </c>
      <c r="D30" s="1029"/>
      <c r="E30" s="1030"/>
      <c r="F30" s="647">
        <v>800</v>
      </c>
      <c r="G30" s="320"/>
      <c r="H30" s="648">
        <f>SUM(H7:H29)</f>
        <v>770</v>
      </c>
      <c r="I30" s="320">
        <f>(+H30/F30)*100</f>
        <v>96.25</v>
      </c>
      <c r="J30" s="320">
        <v>2400</v>
      </c>
      <c r="K30" s="210"/>
      <c r="L30" s="211">
        <f>SUM(L7:L29)</f>
        <v>2110</v>
      </c>
      <c r="M30" s="1042"/>
      <c r="N30" s="1058"/>
      <c r="O30" s="885"/>
      <c r="P30" s="1055"/>
      <c r="Q30" s="885"/>
      <c r="R30" s="885"/>
      <c r="S30" s="1047"/>
      <c r="T30" s="695">
        <f>(+L30/J30)*100</f>
        <v>87.91666666666667</v>
      </c>
      <c r="U30" s="234">
        <v>3524375000</v>
      </c>
      <c r="V30" s="234">
        <v>2674726235</v>
      </c>
    </row>
    <row r="31" spans="2:22" ht="58.5" customHeight="1" thickBot="1">
      <c r="B31" s="1051" t="s">
        <v>52</v>
      </c>
      <c r="C31" s="237" t="s">
        <v>788</v>
      </c>
      <c r="D31" s="237" t="s">
        <v>55</v>
      </c>
      <c r="E31" s="653" t="s">
        <v>66</v>
      </c>
      <c r="F31" s="493">
        <v>30</v>
      </c>
      <c r="G31" s="493">
        <v>40</v>
      </c>
      <c r="H31" s="493">
        <v>100</v>
      </c>
      <c r="I31" s="656"/>
      <c r="J31" s="493">
        <v>340</v>
      </c>
      <c r="K31" s="493">
        <v>330</v>
      </c>
      <c r="L31" s="494">
        <f>(+K31/J31)*100</f>
        <v>97.05882352941177</v>
      </c>
      <c r="M31" s="1074">
        <v>30</v>
      </c>
      <c r="N31" s="1072">
        <v>95231418</v>
      </c>
      <c r="O31" s="1043">
        <v>95230512</v>
      </c>
      <c r="P31" s="1061">
        <f>(+O31/N31)*100</f>
        <v>99.99904863329873</v>
      </c>
      <c r="Q31" s="1072">
        <f>(4085000000+250000000)</f>
        <v>4335000000</v>
      </c>
      <c r="R31" s="1043">
        <f>(376871898+803772854+171337000+197256052+O31)</f>
        <v>1644468316</v>
      </c>
      <c r="S31" s="1061">
        <f>(+R31/Q31)*100</f>
        <v>37.93467856978086</v>
      </c>
      <c r="T31" s="649" t="s">
        <v>972</v>
      </c>
      <c r="U31" s="234">
        <v>4335000000</v>
      </c>
      <c r="V31" s="234">
        <v>1644468316</v>
      </c>
    </row>
    <row r="32" spans="2:22" ht="36" customHeight="1" thickBot="1" thickTop="1">
      <c r="B32" s="1052"/>
      <c r="C32" s="238" t="s">
        <v>57</v>
      </c>
      <c r="D32" s="238" t="s">
        <v>58</v>
      </c>
      <c r="E32" s="654" t="s">
        <v>59</v>
      </c>
      <c r="F32" s="657">
        <v>50</v>
      </c>
      <c r="G32" s="657">
        <v>50</v>
      </c>
      <c r="H32" s="658">
        <f>(+G32/F32)*100</f>
        <v>100</v>
      </c>
      <c r="I32" s="657"/>
      <c r="J32" s="657">
        <v>390</v>
      </c>
      <c r="K32" s="657">
        <v>502</v>
      </c>
      <c r="L32" s="659">
        <v>100</v>
      </c>
      <c r="M32" s="1075"/>
      <c r="N32" s="1073"/>
      <c r="O32" s="1044"/>
      <c r="P32" s="1062"/>
      <c r="Q32" s="1073"/>
      <c r="R32" s="1044"/>
      <c r="S32" s="1062"/>
      <c r="T32" s="209"/>
      <c r="U32" s="234"/>
      <c r="V32" s="234"/>
    </row>
    <row r="33" spans="2:22" ht="39.75" customHeight="1" thickBot="1" thickTop="1">
      <c r="B33" s="1039"/>
      <c r="C33" s="1027" t="s">
        <v>659</v>
      </c>
      <c r="D33" s="1025"/>
      <c r="E33" s="1028"/>
      <c r="F33" s="497">
        <v>200</v>
      </c>
      <c r="G33" s="655"/>
      <c r="H33" s="497">
        <f>SUM(H31:H32)</f>
        <v>200</v>
      </c>
      <c r="I33" s="655">
        <f>(+H33/F33)*100</f>
        <v>100</v>
      </c>
      <c r="J33" s="655">
        <v>200</v>
      </c>
      <c r="K33" s="650"/>
      <c r="L33" s="651">
        <f>SUM(L31:L32)</f>
        <v>197.05882352941177</v>
      </c>
      <c r="M33" s="1076"/>
      <c r="N33" s="1058"/>
      <c r="O33" s="885"/>
      <c r="P33" s="1055"/>
      <c r="Q33" s="1058"/>
      <c r="R33" s="885"/>
      <c r="S33" s="1055"/>
      <c r="T33" s="652">
        <f>(+L33/J33)*100</f>
        <v>98.52941176470588</v>
      </c>
      <c r="U33" s="1"/>
      <c r="V33" s="1"/>
    </row>
    <row r="34" spans="2:22" ht="66" customHeight="1" thickBot="1">
      <c r="B34" s="886" t="s">
        <v>694</v>
      </c>
      <c r="C34" s="148"/>
      <c r="D34" s="1048" t="s">
        <v>293</v>
      </c>
      <c r="E34" s="1049"/>
      <c r="F34" s="1049"/>
      <c r="G34" s="1049"/>
      <c r="H34" s="1049"/>
      <c r="I34" s="1049"/>
      <c r="J34" s="1049"/>
      <c r="K34" s="1049"/>
      <c r="L34" s="1049"/>
      <c r="M34" s="954"/>
      <c r="N34" s="1048" t="s">
        <v>543</v>
      </c>
      <c r="O34" s="1049"/>
      <c r="P34" s="1049"/>
      <c r="Q34" s="1049"/>
      <c r="R34" s="1049"/>
      <c r="S34" s="954"/>
      <c r="T34" s="927" t="s">
        <v>269</v>
      </c>
      <c r="U34" s="1"/>
      <c r="V34" s="1"/>
    </row>
    <row r="35" spans="2:22" ht="391.5" customHeight="1" thickBot="1">
      <c r="B35" s="887"/>
      <c r="C35" s="149"/>
      <c r="D35" s="119" t="s">
        <v>372</v>
      </c>
      <c r="E35" s="119" t="s">
        <v>294</v>
      </c>
      <c r="F35" s="130" t="s">
        <v>271</v>
      </c>
      <c r="G35" s="130" t="s">
        <v>272</v>
      </c>
      <c r="H35" s="131" t="s">
        <v>284</v>
      </c>
      <c r="I35" s="130" t="s">
        <v>285</v>
      </c>
      <c r="J35" s="130" t="s">
        <v>482</v>
      </c>
      <c r="K35" s="130" t="s">
        <v>286</v>
      </c>
      <c r="L35" s="132" t="s">
        <v>287</v>
      </c>
      <c r="M35" s="130" t="s">
        <v>288</v>
      </c>
      <c r="N35" s="130" t="s">
        <v>270</v>
      </c>
      <c r="O35" s="131" t="s">
        <v>289</v>
      </c>
      <c r="P35" s="130" t="s">
        <v>290</v>
      </c>
      <c r="Q35" s="130" t="s">
        <v>696</v>
      </c>
      <c r="R35" s="131" t="s">
        <v>291</v>
      </c>
      <c r="S35" s="132" t="s">
        <v>292</v>
      </c>
      <c r="T35" s="928"/>
      <c r="U35" s="1"/>
      <c r="V35" s="1"/>
    </row>
    <row r="36" spans="2:22" ht="20.25" customHeight="1" thickBot="1">
      <c r="B36" s="968" t="s">
        <v>303</v>
      </c>
      <c r="C36" s="899"/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899"/>
      <c r="T36" s="900"/>
      <c r="U36" s="1"/>
      <c r="V36" s="1"/>
    </row>
    <row r="37" spans="2:22" ht="60" customHeight="1" thickBot="1">
      <c r="B37" s="1067" t="s">
        <v>53</v>
      </c>
      <c r="C37" s="668" t="s">
        <v>73</v>
      </c>
      <c r="D37" s="669" t="s">
        <v>684</v>
      </c>
      <c r="E37" s="1087" t="s">
        <v>685</v>
      </c>
      <c r="F37" s="674">
        <v>60</v>
      </c>
      <c r="G37" s="229">
        <v>60</v>
      </c>
      <c r="H37" s="229">
        <f>(+G37/F37)*100</f>
        <v>100</v>
      </c>
      <c r="I37" s="645"/>
      <c r="J37" s="229">
        <v>270</v>
      </c>
      <c r="K37" s="229">
        <v>270</v>
      </c>
      <c r="L37" s="678">
        <f>(+K37/J37)*100</f>
        <v>100</v>
      </c>
      <c r="M37" s="1091">
        <v>30</v>
      </c>
      <c r="N37" s="877">
        <v>643164000</v>
      </c>
      <c r="O37" s="877">
        <v>643151791</v>
      </c>
      <c r="P37" s="1069">
        <f>(+O37/N37)*100</f>
        <v>99.99810172833057</v>
      </c>
      <c r="Q37" s="877">
        <f>(7800000000+650000000)</f>
        <v>8450000000</v>
      </c>
      <c r="R37" s="1063">
        <f>(2056724664+1507928351+2719834742+996944741+500000000+O37)</f>
        <v>8424584289</v>
      </c>
      <c r="S37" s="1069">
        <f>(+R37/Q37)*100</f>
        <v>99.69922235502958</v>
      </c>
      <c r="T37" s="133"/>
      <c r="U37" s="1"/>
      <c r="V37" s="1"/>
    </row>
    <row r="38" spans="2:22" ht="60" customHeight="1" thickBot="1" thickTop="1">
      <c r="B38" s="1036"/>
      <c r="C38" s="597" t="s">
        <v>74</v>
      </c>
      <c r="D38" s="670" t="s">
        <v>686</v>
      </c>
      <c r="E38" s="1088"/>
      <c r="F38" s="675">
        <v>50</v>
      </c>
      <c r="G38" s="424">
        <v>87</v>
      </c>
      <c r="H38" s="232">
        <v>100</v>
      </c>
      <c r="I38" s="344"/>
      <c r="J38" s="424">
        <v>616</v>
      </c>
      <c r="K38" s="424">
        <f>(460+363+87)</f>
        <v>910</v>
      </c>
      <c r="L38" s="679">
        <v>100</v>
      </c>
      <c r="M38" s="925"/>
      <c r="N38" s="878"/>
      <c r="O38" s="878"/>
      <c r="P38" s="1070"/>
      <c r="Q38" s="878"/>
      <c r="R38" s="1064"/>
      <c r="S38" s="1070"/>
      <c r="T38" s="134"/>
      <c r="U38" s="1"/>
      <c r="V38" s="1"/>
    </row>
    <row r="39" spans="2:22" ht="60" customHeight="1" thickBot="1" thickTop="1">
      <c r="B39" s="1036"/>
      <c r="C39" s="597" t="s">
        <v>687</v>
      </c>
      <c r="D39" s="670" t="s">
        <v>257</v>
      </c>
      <c r="E39" s="1088"/>
      <c r="F39" s="675">
        <v>50</v>
      </c>
      <c r="G39" s="424">
        <v>50</v>
      </c>
      <c r="H39" s="232">
        <f>(+G39/F39)*100</f>
        <v>100</v>
      </c>
      <c r="I39" s="344"/>
      <c r="J39" s="424">
        <v>85</v>
      </c>
      <c r="K39" s="424">
        <v>165</v>
      </c>
      <c r="L39" s="679">
        <v>100</v>
      </c>
      <c r="M39" s="925"/>
      <c r="N39" s="878"/>
      <c r="O39" s="878"/>
      <c r="P39" s="1070"/>
      <c r="Q39" s="878"/>
      <c r="R39" s="1064"/>
      <c r="S39" s="1070"/>
      <c r="T39" s="134"/>
      <c r="U39" s="1"/>
      <c r="V39" s="1"/>
    </row>
    <row r="40" spans="2:22" ht="60" customHeight="1" thickBot="1" thickTop="1">
      <c r="B40" s="1036"/>
      <c r="C40" s="581" t="s">
        <v>503</v>
      </c>
      <c r="D40" s="671" t="s">
        <v>304</v>
      </c>
      <c r="E40" s="1077" t="s">
        <v>500</v>
      </c>
      <c r="F40" s="676" t="s">
        <v>56</v>
      </c>
      <c r="G40" s="575" t="s">
        <v>56</v>
      </c>
      <c r="H40" s="115" t="s">
        <v>56</v>
      </c>
      <c r="I40" s="575"/>
      <c r="J40" s="578">
        <v>2</v>
      </c>
      <c r="K40" s="578" t="s">
        <v>620</v>
      </c>
      <c r="L40" s="680" t="s">
        <v>636</v>
      </c>
      <c r="M40" s="925"/>
      <c r="N40" s="878"/>
      <c r="O40" s="878"/>
      <c r="P40" s="1070"/>
      <c r="Q40" s="878"/>
      <c r="R40" s="1064"/>
      <c r="S40" s="1070"/>
      <c r="T40" s="134"/>
      <c r="U40" s="1"/>
      <c r="V40" s="1"/>
    </row>
    <row r="41" spans="2:22" ht="44.25" customHeight="1" thickBot="1" thickTop="1">
      <c r="B41" s="1037"/>
      <c r="C41" s="579" t="s">
        <v>64</v>
      </c>
      <c r="D41" s="672" t="s">
        <v>256</v>
      </c>
      <c r="E41" s="1078"/>
      <c r="F41" s="676" t="s">
        <v>56</v>
      </c>
      <c r="G41" s="575" t="s">
        <v>56</v>
      </c>
      <c r="H41" s="115" t="s">
        <v>56</v>
      </c>
      <c r="I41" s="575"/>
      <c r="J41" s="663">
        <v>47168</v>
      </c>
      <c r="K41" s="663">
        <f>(12400+12528+29438)</f>
        <v>54366</v>
      </c>
      <c r="L41" s="680">
        <v>100</v>
      </c>
      <c r="M41" s="925"/>
      <c r="N41" s="878"/>
      <c r="O41" s="878"/>
      <c r="P41" s="1070"/>
      <c r="Q41" s="878"/>
      <c r="R41" s="1065"/>
      <c r="S41" s="1070"/>
      <c r="T41" s="134"/>
      <c r="U41" s="234">
        <v>3524375000</v>
      </c>
      <c r="V41" s="234">
        <v>2674726235</v>
      </c>
    </row>
    <row r="42" spans="2:22" ht="48.75" customHeight="1" thickBot="1" thickTop="1">
      <c r="B42" s="1037"/>
      <c r="C42" s="579" t="s">
        <v>77</v>
      </c>
      <c r="D42" s="672" t="s">
        <v>65</v>
      </c>
      <c r="E42" s="579" t="s">
        <v>67</v>
      </c>
      <c r="F42" s="676" t="s">
        <v>56</v>
      </c>
      <c r="G42" s="575" t="s">
        <v>56</v>
      </c>
      <c r="H42" s="115" t="s">
        <v>56</v>
      </c>
      <c r="I42" s="575"/>
      <c r="J42" s="577">
        <v>1500</v>
      </c>
      <c r="K42" s="577">
        <v>13000</v>
      </c>
      <c r="L42" s="680">
        <v>100</v>
      </c>
      <c r="M42" s="925"/>
      <c r="N42" s="878"/>
      <c r="O42" s="878"/>
      <c r="P42" s="1070"/>
      <c r="Q42" s="878"/>
      <c r="R42" s="1065"/>
      <c r="S42" s="1070"/>
      <c r="T42" s="683"/>
      <c r="U42" s="234">
        <v>4335000000</v>
      </c>
      <c r="V42" s="234">
        <v>1644468316</v>
      </c>
    </row>
    <row r="43" spans="2:22" ht="37.5" customHeight="1" thickBot="1" thickTop="1">
      <c r="B43" s="1038"/>
      <c r="C43" s="128" t="s">
        <v>75</v>
      </c>
      <c r="D43" s="673" t="s">
        <v>68</v>
      </c>
      <c r="E43" s="128" t="s">
        <v>78</v>
      </c>
      <c r="F43" s="677" t="s">
        <v>56</v>
      </c>
      <c r="G43" s="665" t="s">
        <v>56</v>
      </c>
      <c r="H43" s="666" t="s">
        <v>56</v>
      </c>
      <c r="I43" s="665"/>
      <c r="J43" s="667">
        <v>1</v>
      </c>
      <c r="K43" s="667">
        <v>1</v>
      </c>
      <c r="L43" s="681">
        <f>(+K43/J43)*100</f>
        <v>100</v>
      </c>
      <c r="M43" s="925"/>
      <c r="N43" s="878"/>
      <c r="O43" s="878"/>
      <c r="P43" s="1070"/>
      <c r="Q43" s="878"/>
      <c r="R43" s="1065"/>
      <c r="S43" s="1070"/>
      <c r="T43" s="683"/>
      <c r="U43" s="234">
        <v>8450000000</v>
      </c>
      <c r="V43" s="234">
        <v>8424584289</v>
      </c>
    </row>
    <row r="44" spans="2:22" ht="53.25" customHeight="1" thickBot="1" thickTop="1">
      <c r="B44" s="1068"/>
      <c r="C44" s="896" t="s">
        <v>659</v>
      </c>
      <c r="D44" s="897"/>
      <c r="E44" s="897"/>
      <c r="F44" s="184">
        <v>300</v>
      </c>
      <c r="G44" s="171"/>
      <c r="H44" s="184">
        <f>SUM(H37:H43)</f>
        <v>300</v>
      </c>
      <c r="I44" s="171">
        <f>(+H44/F44)*100</f>
        <v>100</v>
      </c>
      <c r="J44" s="171">
        <v>700</v>
      </c>
      <c r="K44" s="184"/>
      <c r="L44" s="682">
        <f>SUM(L37:L43)</f>
        <v>600</v>
      </c>
      <c r="M44" s="1092"/>
      <c r="N44" s="879"/>
      <c r="O44" s="879"/>
      <c r="P44" s="1071"/>
      <c r="Q44" s="879"/>
      <c r="R44" s="1066"/>
      <c r="S44" s="1071"/>
      <c r="T44" s="652">
        <f>(+L44/J44)*100</f>
        <v>85.71428571428571</v>
      </c>
      <c r="U44" s="234">
        <v>2038400000</v>
      </c>
      <c r="V44" s="234">
        <v>1614018751</v>
      </c>
    </row>
    <row r="45" spans="2:22" ht="42" customHeight="1" thickBot="1">
      <c r="B45" s="893" t="s">
        <v>54</v>
      </c>
      <c r="C45" s="598" t="s">
        <v>688</v>
      </c>
      <c r="D45" s="598" t="s">
        <v>265</v>
      </c>
      <c r="E45" s="964" t="s">
        <v>689</v>
      </c>
      <c r="F45" s="660">
        <v>30</v>
      </c>
      <c r="G45" s="660">
        <v>30</v>
      </c>
      <c r="H45" s="661">
        <f>(+G45/F45)*100</f>
        <v>100</v>
      </c>
      <c r="I45" s="495"/>
      <c r="J45" s="660">
        <v>30</v>
      </c>
      <c r="K45" s="660">
        <v>30</v>
      </c>
      <c r="L45" s="661">
        <f>(+K45/J45)*100</f>
        <v>100</v>
      </c>
      <c r="M45" s="1052">
        <v>30</v>
      </c>
      <c r="N45" s="1082">
        <v>508678666</v>
      </c>
      <c r="O45" s="1083">
        <v>508671594</v>
      </c>
      <c r="P45" s="1084">
        <f>(+O45/N45)*100</f>
        <v>99.99860973135445</v>
      </c>
      <c r="Q45" s="1085">
        <f>(1105400000+933000000)</f>
        <v>2038400000</v>
      </c>
      <c r="R45" s="1082">
        <f>(0+5823200+40326664+559680290+499517003+O45)</f>
        <v>1614018751</v>
      </c>
      <c r="S45" s="1079">
        <f>(+R45/Q45)*100</f>
        <v>79.18066871075354</v>
      </c>
      <c r="T45" s="250"/>
      <c r="U45" s="1"/>
      <c r="V45" s="1"/>
    </row>
    <row r="46" spans="2:22" ht="42" customHeight="1" thickBot="1">
      <c r="B46" s="894"/>
      <c r="C46" s="489" t="s">
        <v>690</v>
      </c>
      <c r="D46" s="489" t="s">
        <v>262</v>
      </c>
      <c r="E46" s="1090"/>
      <c r="F46" s="484">
        <v>1</v>
      </c>
      <c r="G46" s="201">
        <v>1</v>
      </c>
      <c r="H46" s="494">
        <f>(+G46/F46)*100</f>
        <v>100</v>
      </c>
      <c r="I46" s="201"/>
      <c r="J46" s="201">
        <v>1</v>
      </c>
      <c r="K46" s="201">
        <v>1</v>
      </c>
      <c r="L46" s="494">
        <f>(+K46/J46)*100</f>
        <v>100</v>
      </c>
      <c r="M46" s="1052"/>
      <c r="N46" s="1082"/>
      <c r="O46" s="1083"/>
      <c r="P46" s="1084"/>
      <c r="Q46" s="1085"/>
      <c r="R46" s="1082"/>
      <c r="S46" s="1079"/>
      <c r="T46" s="250"/>
      <c r="U46" s="1"/>
      <c r="V46" s="1"/>
    </row>
    <row r="47" spans="2:22" ht="42" customHeight="1" thickBot="1">
      <c r="B47" s="894"/>
      <c r="C47" s="572" t="s">
        <v>974</v>
      </c>
      <c r="D47" s="489" t="s">
        <v>262</v>
      </c>
      <c r="E47" s="1090"/>
      <c r="F47" s="484">
        <v>1</v>
      </c>
      <c r="G47" s="201">
        <v>1</v>
      </c>
      <c r="H47" s="494">
        <f>(+G47/F47)*100</f>
        <v>100</v>
      </c>
      <c r="I47" s="201"/>
      <c r="J47" s="201">
        <v>1</v>
      </c>
      <c r="K47" s="201">
        <v>1</v>
      </c>
      <c r="L47" s="494">
        <f>(+K47/J47)*100</f>
        <v>100</v>
      </c>
      <c r="M47" s="1052"/>
      <c r="N47" s="1082"/>
      <c r="O47" s="1083"/>
      <c r="P47" s="1084"/>
      <c r="Q47" s="1085"/>
      <c r="R47" s="1082"/>
      <c r="S47" s="1079"/>
      <c r="T47" s="250"/>
      <c r="U47" s="1"/>
      <c r="V47" s="1"/>
    </row>
    <row r="48" spans="2:22" ht="27" customHeight="1" thickBot="1">
      <c r="B48" s="894"/>
      <c r="C48" s="489" t="s">
        <v>691</v>
      </c>
      <c r="D48" s="489" t="s">
        <v>262</v>
      </c>
      <c r="E48" s="1090"/>
      <c r="F48" s="484">
        <v>1</v>
      </c>
      <c r="G48" s="201">
        <v>1</v>
      </c>
      <c r="H48" s="494">
        <f>(+G48/F48)*100</f>
        <v>100</v>
      </c>
      <c r="I48" s="201"/>
      <c r="J48" s="201">
        <v>3</v>
      </c>
      <c r="K48" s="201">
        <v>3</v>
      </c>
      <c r="L48" s="494">
        <f>(+K48/J48)*100</f>
        <v>100</v>
      </c>
      <c r="M48" s="1052"/>
      <c r="N48" s="1082"/>
      <c r="O48" s="1083"/>
      <c r="P48" s="1084"/>
      <c r="Q48" s="1085"/>
      <c r="R48" s="1082"/>
      <c r="S48" s="1079"/>
      <c r="T48" s="250"/>
      <c r="U48" s="1"/>
      <c r="V48" s="1"/>
    </row>
    <row r="49" spans="2:22" ht="42" customHeight="1" thickBot="1">
      <c r="B49" s="894"/>
      <c r="C49" s="489" t="s">
        <v>76</v>
      </c>
      <c r="D49" s="489" t="s">
        <v>262</v>
      </c>
      <c r="E49" s="1090"/>
      <c r="F49" s="484">
        <v>1</v>
      </c>
      <c r="G49" s="201">
        <v>1</v>
      </c>
      <c r="H49" s="494">
        <f>(+G49/F49)*100</f>
        <v>100</v>
      </c>
      <c r="I49" s="201"/>
      <c r="J49" s="201">
        <v>5</v>
      </c>
      <c r="K49" s="201">
        <v>5</v>
      </c>
      <c r="L49" s="494">
        <f>(+K49/J49)*100</f>
        <v>100</v>
      </c>
      <c r="M49" s="1052"/>
      <c r="N49" s="1082"/>
      <c r="O49" s="1083"/>
      <c r="P49" s="1084"/>
      <c r="Q49" s="1085"/>
      <c r="R49" s="1082"/>
      <c r="S49" s="1079"/>
      <c r="T49" s="250"/>
      <c r="U49" s="1"/>
      <c r="V49" s="1"/>
    </row>
    <row r="50" spans="2:22" ht="60.75" customHeight="1">
      <c r="B50" s="894"/>
      <c r="C50" s="489" t="s">
        <v>692</v>
      </c>
      <c r="D50" s="489" t="s">
        <v>262</v>
      </c>
      <c r="E50" s="1090"/>
      <c r="F50" s="484">
        <v>50</v>
      </c>
      <c r="G50" s="201">
        <v>65</v>
      </c>
      <c r="H50" s="494">
        <v>100</v>
      </c>
      <c r="I50" s="201"/>
      <c r="J50" s="201">
        <v>190</v>
      </c>
      <c r="K50" s="201">
        <v>947</v>
      </c>
      <c r="L50" s="496">
        <v>100</v>
      </c>
      <c r="M50" s="1052"/>
      <c r="N50" s="1082"/>
      <c r="O50" s="1083"/>
      <c r="P50" s="1084"/>
      <c r="Q50" s="1085"/>
      <c r="R50" s="1082"/>
      <c r="S50" s="1079"/>
      <c r="T50" s="250"/>
      <c r="U50" s="1"/>
      <c r="V50" s="1"/>
    </row>
    <row r="51" spans="2:22" ht="36" customHeight="1">
      <c r="B51" s="894"/>
      <c r="C51" s="163" t="s">
        <v>693</v>
      </c>
      <c r="D51" s="154" t="s">
        <v>304</v>
      </c>
      <c r="E51" s="1077" t="s">
        <v>504</v>
      </c>
      <c r="F51" s="256" t="s">
        <v>56</v>
      </c>
      <c r="G51" s="62" t="s">
        <v>56</v>
      </c>
      <c r="H51" s="62" t="s">
        <v>56</v>
      </c>
      <c r="I51" s="62"/>
      <c r="J51" s="486">
        <v>1</v>
      </c>
      <c r="K51" s="486">
        <v>1</v>
      </c>
      <c r="L51" s="253">
        <v>100</v>
      </c>
      <c r="M51" s="1052"/>
      <c r="N51" s="1082"/>
      <c r="O51" s="1083"/>
      <c r="P51" s="1084"/>
      <c r="Q51" s="1085"/>
      <c r="R51" s="1082"/>
      <c r="S51" s="1079"/>
      <c r="T51" s="250"/>
      <c r="U51" s="1"/>
      <c r="V51" s="1"/>
    </row>
    <row r="52" spans="2:22" ht="24" customHeight="1">
      <c r="B52" s="894"/>
      <c r="C52" s="163" t="s">
        <v>505</v>
      </c>
      <c r="D52" s="154" t="s">
        <v>304</v>
      </c>
      <c r="E52" s="1089"/>
      <c r="F52" s="256" t="s">
        <v>56</v>
      </c>
      <c r="G52" s="62" t="s">
        <v>56</v>
      </c>
      <c r="H52" s="62" t="s">
        <v>56</v>
      </c>
      <c r="I52" s="62"/>
      <c r="J52" s="486">
        <v>2</v>
      </c>
      <c r="K52" s="486">
        <v>2</v>
      </c>
      <c r="L52" s="253">
        <v>100</v>
      </c>
      <c r="M52" s="1052"/>
      <c r="N52" s="1082"/>
      <c r="O52" s="1083"/>
      <c r="P52" s="1084"/>
      <c r="Q52" s="1085"/>
      <c r="R52" s="1082"/>
      <c r="S52" s="1079"/>
      <c r="T52" s="250"/>
      <c r="U52" s="1"/>
      <c r="V52" s="1"/>
    </row>
    <row r="53" spans="2:22" ht="38.25" customHeight="1">
      <c r="B53" s="894"/>
      <c r="C53" s="163" t="s">
        <v>506</v>
      </c>
      <c r="D53" s="249" t="s">
        <v>265</v>
      </c>
      <c r="E53" s="1078"/>
      <c r="F53" s="256" t="s">
        <v>56</v>
      </c>
      <c r="G53" s="62" t="s">
        <v>56</v>
      </c>
      <c r="H53" s="62" t="s">
        <v>56</v>
      </c>
      <c r="I53" s="62"/>
      <c r="J53" s="486">
        <v>3</v>
      </c>
      <c r="K53" s="486">
        <v>3</v>
      </c>
      <c r="L53" s="253">
        <v>100</v>
      </c>
      <c r="M53" s="1052"/>
      <c r="N53" s="1082"/>
      <c r="O53" s="1083"/>
      <c r="P53" s="1084"/>
      <c r="Q53" s="1085"/>
      <c r="R53" s="1082"/>
      <c r="S53" s="1079"/>
      <c r="T53" s="250"/>
      <c r="U53" s="1"/>
      <c r="V53" s="1"/>
    </row>
    <row r="54" spans="2:22" ht="29.25" customHeight="1">
      <c r="B54" s="894"/>
      <c r="C54" s="254" t="s">
        <v>76</v>
      </c>
      <c r="D54" s="254" t="s">
        <v>480</v>
      </c>
      <c r="E54" s="1080" t="s">
        <v>69</v>
      </c>
      <c r="F54" s="256" t="s">
        <v>56</v>
      </c>
      <c r="G54" s="62" t="s">
        <v>56</v>
      </c>
      <c r="H54" s="62" t="s">
        <v>56</v>
      </c>
      <c r="I54" s="62"/>
      <c r="J54" s="486">
        <v>4</v>
      </c>
      <c r="K54" s="486">
        <v>4</v>
      </c>
      <c r="L54" s="253">
        <v>100</v>
      </c>
      <c r="M54" s="1052"/>
      <c r="N54" s="1082"/>
      <c r="O54" s="1083"/>
      <c r="P54" s="1084"/>
      <c r="Q54" s="1085"/>
      <c r="R54" s="1082"/>
      <c r="S54" s="1079"/>
      <c r="T54" s="251"/>
      <c r="U54" s="235"/>
      <c r="V54" s="235"/>
    </row>
    <row r="55" spans="2:22" ht="27.75" customHeight="1">
      <c r="B55" s="894"/>
      <c r="C55" s="254" t="s">
        <v>70</v>
      </c>
      <c r="D55" s="254" t="s">
        <v>480</v>
      </c>
      <c r="E55" s="1080"/>
      <c r="F55" s="256" t="s">
        <v>56</v>
      </c>
      <c r="G55" s="62" t="s">
        <v>56</v>
      </c>
      <c r="H55" s="62" t="s">
        <v>56</v>
      </c>
      <c r="I55" s="62"/>
      <c r="J55" s="486">
        <v>2</v>
      </c>
      <c r="K55" s="486">
        <v>2</v>
      </c>
      <c r="L55" s="253">
        <f>(+K55/J55)*100</f>
        <v>100</v>
      </c>
      <c r="M55" s="1052"/>
      <c r="N55" s="1082"/>
      <c r="O55" s="1083"/>
      <c r="P55" s="1084"/>
      <c r="Q55" s="1085"/>
      <c r="R55" s="1082"/>
      <c r="S55" s="1079"/>
      <c r="T55" s="252"/>
      <c r="U55" s="236"/>
      <c r="V55" s="236"/>
    </row>
    <row r="56" spans="2:22" ht="22.5" customHeight="1">
      <c r="B56" s="894"/>
      <c r="C56" s="254" t="s">
        <v>71</v>
      </c>
      <c r="D56" s="254" t="s">
        <v>480</v>
      </c>
      <c r="E56" s="1080" t="s">
        <v>258</v>
      </c>
      <c r="F56" s="256" t="s">
        <v>56</v>
      </c>
      <c r="G56" s="62" t="s">
        <v>56</v>
      </c>
      <c r="H56" s="62" t="s">
        <v>56</v>
      </c>
      <c r="I56" s="62"/>
      <c r="J56" s="486">
        <v>1</v>
      </c>
      <c r="K56" s="486">
        <v>1</v>
      </c>
      <c r="L56" s="253">
        <f>(+K56/J56)*100</f>
        <v>100</v>
      </c>
      <c r="M56" s="1052"/>
      <c r="N56" s="1082"/>
      <c r="O56" s="1083"/>
      <c r="P56" s="1084"/>
      <c r="Q56" s="1085"/>
      <c r="R56" s="1082"/>
      <c r="S56" s="1079"/>
      <c r="T56" s="252"/>
      <c r="U56" s="1"/>
      <c r="V56" s="1"/>
    </row>
    <row r="57" spans="2:22" ht="35.25" customHeight="1" thickBot="1">
      <c r="B57" s="894"/>
      <c r="C57" s="685" t="s">
        <v>72</v>
      </c>
      <c r="D57" s="685"/>
      <c r="E57" s="1081"/>
      <c r="F57" s="686" t="s">
        <v>56</v>
      </c>
      <c r="G57" s="687" t="s">
        <v>56</v>
      </c>
      <c r="H57" s="687" t="s">
        <v>56</v>
      </c>
      <c r="I57" s="687"/>
      <c r="J57" s="688">
        <v>1</v>
      </c>
      <c r="K57" s="688">
        <v>1</v>
      </c>
      <c r="L57" s="689">
        <f>(+K57/J57)*100</f>
        <v>100</v>
      </c>
      <c r="M57" s="1052"/>
      <c r="N57" s="1082"/>
      <c r="O57" s="1083"/>
      <c r="P57" s="1084"/>
      <c r="Q57" s="1085"/>
      <c r="R57" s="1082"/>
      <c r="S57" s="1079"/>
      <c r="T57" s="690"/>
      <c r="U57" s="1"/>
      <c r="V57" s="1"/>
    </row>
    <row r="58" spans="2:22" ht="18.75" customHeight="1" thickBot="1">
      <c r="B58" s="684"/>
      <c r="C58" s="1025" t="s">
        <v>659</v>
      </c>
      <c r="D58" s="1025"/>
      <c r="E58" s="1026"/>
      <c r="F58" s="184">
        <v>600</v>
      </c>
      <c r="G58" s="171"/>
      <c r="H58" s="184">
        <f>SUM(H45:H57)</f>
        <v>600</v>
      </c>
      <c r="I58" s="171">
        <f>(+H58/F58)*100</f>
        <v>100</v>
      </c>
      <c r="J58" s="691">
        <v>1300</v>
      </c>
      <c r="K58" s="692"/>
      <c r="L58" s="632">
        <f>SUM(L45:L57)</f>
        <v>1300</v>
      </c>
      <c r="M58" s="693"/>
      <c r="N58" s="693"/>
      <c r="O58" s="693"/>
      <c r="P58" s="693"/>
      <c r="Q58" s="693"/>
      <c r="R58" s="693"/>
      <c r="S58" s="693"/>
      <c r="T58" s="172">
        <f>(+L58/J58)*100</f>
        <v>100</v>
      </c>
      <c r="U58" s="1"/>
      <c r="V58" s="1"/>
    </row>
    <row r="59" spans="21:22" ht="12.75">
      <c r="U59" s="1"/>
      <c r="V59" s="1"/>
    </row>
    <row r="60" spans="21:22" ht="12.75">
      <c r="U60" s="1"/>
      <c r="V60" s="1"/>
    </row>
    <row r="61" spans="21:22" ht="12.75">
      <c r="U61" s="1"/>
      <c r="V61" s="1"/>
    </row>
    <row r="62" spans="21:22" ht="12.75">
      <c r="U62" s="1"/>
      <c r="V62" s="1"/>
    </row>
    <row r="63" spans="21:22" ht="12.75">
      <c r="U63" s="1"/>
      <c r="V63" s="1"/>
    </row>
    <row r="64" spans="21:22" ht="12.75">
      <c r="U64" s="1"/>
      <c r="V64" s="1"/>
    </row>
    <row r="65" spans="21:22" ht="12.75">
      <c r="U65" s="1"/>
      <c r="V65" s="1"/>
    </row>
    <row r="66" spans="21:22" ht="12.75">
      <c r="U66" s="1"/>
      <c r="V66" s="1"/>
    </row>
    <row r="67" spans="21:22" ht="12.75">
      <c r="U67" s="1"/>
      <c r="V67" s="1"/>
    </row>
  </sheetData>
  <sheetProtection/>
  <mergeCells count="59">
    <mergeCell ref="C10:C11"/>
    <mergeCell ref="E37:E39"/>
    <mergeCell ref="E51:E53"/>
    <mergeCell ref="E45:E50"/>
    <mergeCell ref="R45:R57"/>
    <mergeCell ref="M37:M44"/>
    <mergeCell ref="P37:P44"/>
    <mergeCell ref="Q37:Q44"/>
    <mergeCell ref="N37:N44"/>
    <mergeCell ref="O37:O44"/>
    <mergeCell ref="S45:S57"/>
    <mergeCell ref="B45:B57"/>
    <mergeCell ref="E56:E57"/>
    <mergeCell ref="E54:E55"/>
    <mergeCell ref="M45:M57"/>
    <mergeCell ref="N45:N57"/>
    <mergeCell ref="O45:O57"/>
    <mergeCell ref="P45:P57"/>
    <mergeCell ref="Q45:Q57"/>
    <mergeCell ref="R37:R44"/>
    <mergeCell ref="B37:B44"/>
    <mergeCell ref="S31:S33"/>
    <mergeCell ref="S37:S44"/>
    <mergeCell ref="Q31:Q33"/>
    <mergeCell ref="M31:M33"/>
    <mergeCell ref="N31:N33"/>
    <mergeCell ref="B34:B35"/>
    <mergeCell ref="D34:M34"/>
    <mergeCell ref="E40:E41"/>
    <mergeCell ref="D22:D23"/>
    <mergeCell ref="B31:B33"/>
    <mergeCell ref="B36:T36"/>
    <mergeCell ref="P7:P30"/>
    <mergeCell ref="N7:N30"/>
    <mergeCell ref="Q7:Q30"/>
    <mergeCell ref="E15:E17"/>
    <mergeCell ref="E8:E9"/>
    <mergeCell ref="P31:P33"/>
    <mergeCell ref="O31:O33"/>
    <mergeCell ref="T4:T5"/>
    <mergeCell ref="D4:M4"/>
    <mergeCell ref="N4:S4"/>
    <mergeCell ref="T34:T35"/>
    <mergeCell ref="M7:M30"/>
    <mergeCell ref="O7:O30"/>
    <mergeCell ref="R31:R33"/>
    <mergeCell ref="S7:S30"/>
    <mergeCell ref="R7:R30"/>
    <mergeCell ref="N34:S34"/>
    <mergeCell ref="C58:E58"/>
    <mergeCell ref="C44:E44"/>
    <mergeCell ref="C33:E33"/>
    <mergeCell ref="C30:E30"/>
    <mergeCell ref="B2:T2"/>
    <mergeCell ref="B3:T3"/>
    <mergeCell ref="B6:T6"/>
    <mergeCell ref="C22:C23"/>
    <mergeCell ref="B4:B5"/>
    <mergeCell ref="B7:B30"/>
  </mergeCells>
  <printOptions horizontalCentered="1" verticalCentered="1"/>
  <pageMargins left="0.1968503937007874" right="0.1968503937007874" top="0.1968503937007874" bottom="0.1968503937007874" header="0.1968503937007874" footer="0"/>
  <pageSetup horizontalDpi="300" verticalDpi="300" orientation="landscape" scale="37" r:id="rId1"/>
  <rowBreaks count="1" manualBreakCount="1">
    <brk id="33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V86"/>
  <sheetViews>
    <sheetView view="pageBreakPreview" zoomScale="50" zoomScaleNormal="70" zoomScaleSheetLayoutView="50" zoomScalePageLayoutView="0" workbookViewId="0" topLeftCell="A4">
      <selection activeCell="S6" sqref="S6:S21"/>
    </sheetView>
  </sheetViews>
  <sheetFormatPr defaultColWidth="11.421875" defaultRowHeight="12.75"/>
  <cols>
    <col min="1" max="1" width="3.8515625" style="0" customWidth="1"/>
    <col min="2" max="2" width="29.28125" style="0" customWidth="1"/>
    <col min="3" max="3" width="60.7109375" style="0" customWidth="1"/>
    <col min="4" max="4" width="27.8515625" style="0" customWidth="1"/>
    <col min="5" max="5" width="51.8515625" style="0" customWidth="1"/>
    <col min="6" max="6" width="7.00390625" style="0" customWidth="1"/>
    <col min="7" max="7" width="6.7109375" style="0" customWidth="1"/>
    <col min="8" max="8" width="7.8515625" style="0" customWidth="1"/>
    <col min="9" max="9" width="7.28125" style="0" customWidth="1"/>
    <col min="10" max="10" width="9.00390625" style="0" customWidth="1"/>
    <col min="11" max="11" width="6.140625" style="0" customWidth="1"/>
    <col min="12" max="12" width="7.8515625" style="0" customWidth="1"/>
    <col min="13" max="13" width="5.57421875" style="0" customWidth="1"/>
    <col min="14" max="14" width="4.140625" style="0" customWidth="1"/>
    <col min="15" max="15" width="6.140625" style="0" customWidth="1"/>
    <col min="16" max="16" width="5.140625" style="0" customWidth="1"/>
    <col min="17" max="17" width="4.7109375" style="0" customWidth="1"/>
    <col min="18" max="18" width="5.140625" style="0" customWidth="1"/>
    <col min="19" max="19" width="6.140625" style="0" customWidth="1"/>
    <col min="20" max="20" width="7.28125" style="0" customWidth="1"/>
    <col min="21" max="21" width="21.28125" style="0" customWidth="1"/>
    <col min="22" max="22" width="25.28125" style="0" customWidth="1"/>
  </cols>
  <sheetData>
    <row r="1" spans="2:20" ht="39" customHeight="1" thickBot="1">
      <c r="B1" s="874" t="s">
        <v>646</v>
      </c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</row>
    <row r="2" spans="2:20" ht="25.5" customHeight="1" thickBot="1">
      <c r="B2" s="874" t="s">
        <v>970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</row>
    <row r="3" spans="2:20" ht="40.5" customHeight="1" thickBot="1">
      <c r="B3" s="923" t="s">
        <v>666</v>
      </c>
      <c r="C3" s="11"/>
      <c r="D3" s="874" t="s">
        <v>541</v>
      </c>
      <c r="E3" s="875"/>
      <c r="F3" s="875"/>
      <c r="G3" s="875"/>
      <c r="H3" s="875"/>
      <c r="I3" s="875"/>
      <c r="J3" s="875"/>
      <c r="K3" s="915"/>
      <c r="L3" s="915"/>
      <c r="M3" s="915"/>
      <c r="N3" s="874" t="s">
        <v>542</v>
      </c>
      <c r="O3" s="875"/>
      <c r="P3" s="875"/>
      <c r="Q3" s="875"/>
      <c r="R3" s="875"/>
      <c r="S3" s="875"/>
      <c r="T3" s="920" t="s">
        <v>269</v>
      </c>
    </row>
    <row r="4" spans="2:20" ht="304.5" customHeight="1" thickBot="1">
      <c r="B4" s="924"/>
      <c r="C4" s="12" t="s">
        <v>439</v>
      </c>
      <c r="D4" s="12" t="s">
        <v>307</v>
      </c>
      <c r="E4" s="12" t="s">
        <v>294</v>
      </c>
      <c r="F4" s="14" t="s">
        <v>271</v>
      </c>
      <c r="G4" s="14" t="s">
        <v>272</v>
      </c>
      <c r="H4" s="15" t="s">
        <v>284</v>
      </c>
      <c r="I4" s="14" t="s">
        <v>285</v>
      </c>
      <c r="J4" s="14" t="s">
        <v>650</v>
      </c>
      <c r="K4" s="14" t="s">
        <v>286</v>
      </c>
      <c r="L4" s="16" t="s">
        <v>287</v>
      </c>
      <c r="M4" s="14" t="s">
        <v>288</v>
      </c>
      <c r="N4" s="14" t="s">
        <v>270</v>
      </c>
      <c r="O4" s="15" t="s">
        <v>289</v>
      </c>
      <c r="P4" s="14" t="s">
        <v>290</v>
      </c>
      <c r="Q4" s="14" t="s">
        <v>488</v>
      </c>
      <c r="R4" s="15" t="s">
        <v>291</v>
      </c>
      <c r="S4" s="16" t="s">
        <v>292</v>
      </c>
      <c r="T4" s="921"/>
    </row>
    <row r="5" spans="2:20" ht="24" customHeight="1" thickBot="1">
      <c r="B5" s="1120" t="s">
        <v>305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121"/>
    </row>
    <row r="6" spans="2:20" ht="60" customHeight="1">
      <c r="B6" s="1103" t="s">
        <v>306</v>
      </c>
      <c r="C6" s="620" t="s">
        <v>697</v>
      </c>
      <c r="D6" s="488" t="s">
        <v>265</v>
      </c>
      <c r="E6" s="488" t="s">
        <v>698</v>
      </c>
      <c r="F6" s="609">
        <v>100</v>
      </c>
      <c r="G6" s="609">
        <v>100</v>
      </c>
      <c r="H6" s="609">
        <f>(+G6/F6)*100</f>
        <v>100</v>
      </c>
      <c r="I6" s="698"/>
      <c r="J6" s="609">
        <v>100</v>
      </c>
      <c r="K6" s="609">
        <v>70</v>
      </c>
      <c r="L6" s="609">
        <f aca="true" t="shared" si="0" ref="L6:L13">(+K6/J6)*100</f>
        <v>70</v>
      </c>
      <c r="M6" s="1095">
        <v>40</v>
      </c>
      <c r="N6" s="1097">
        <v>399446000</v>
      </c>
      <c r="O6" s="1099">
        <v>399319140</v>
      </c>
      <c r="P6" s="1101">
        <f>(+O6/N6)*100</f>
        <v>99.96824101380412</v>
      </c>
      <c r="Q6" s="1097">
        <v>1150000000</v>
      </c>
      <c r="R6" s="1099">
        <f>(200489885+103963646+84568039+149949728+O6)</f>
        <v>938290438</v>
      </c>
      <c r="S6" s="1101">
        <f>(+R6/Q6)*100</f>
        <v>81.59047286956522</v>
      </c>
      <c r="T6" s="44"/>
    </row>
    <row r="7" spans="2:20" ht="91.5" customHeight="1">
      <c r="B7" s="1104"/>
      <c r="C7" s="621" t="s">
        <v>699</v>
      </c>
      <c r="D7" s="613" t="s">
        <v>508</v>
      </c>
      <c r="E7" s="613" t="s">
        <v>700</v>
      </c>
      <c r="F7" s="699">
        <v>21</v>
      </c>
      <c r="G7" s="609">
        <v>21</v>
      </c>
      <c r="H7" s="609">
        <f>(+G7/F7)*100</f>
        <v>100</v>
      </c>
      <c r="I7" s="741"/>
      <c r="J7" s="699">
        <v>21</v>
      </c>
      <c r="K7" s="699">
        <v>21</v>
      </c>
      <c r="L7" s="609">
        <f t="shared" si="0"/>
        <v>100</v>
      </c>
      <c r="M7" s="1096"/>
      <c r="N7" s="1098"/>
      <c r="O7" s="1100"/>
      <c r="P7" s="1102"/>
      <c r="Q7" s="1098"/>
      <c r="R7" s="1100"/>
      <c r="S7" s="1102"/>
      <c r="T7" s="44"/>
    </row>
    <row r="8" spans="2:20" ht="41.25" customHeight="1">
      <c r="B8" s="1104"/>
      <c r="C8" s="621" t="s">
        <v>701</v>
      </c>
      <c r="D8" s="613" t="s">
        <v>702</v>
      </c>
      <c r="E8" s="613" t="s">
        <v>998</v>
      </c>
      <c r="F8" s="699">
        <v>10</v>
      </c>
      <c r="G8" s="609">
        <v>10</v>
      </c>
      <c r="H8" s="609">
        <f>(+G8/F8)*100</f>
        <v>100</v>
      </c>
      <c r="I8" s="741"/>
      <c r="J8" s="699">
        <v>10</v>
      </c>
      <c r="K8" s="699">
        <v>10</v>
      </c>
      <c r="L8" s="609">
        <f t="shared" si="0"/>
        <v>100</v>
      </c>
      <c r="M8" s="1096"/>
      <c r="N8" s="1098"/>
      <c r="O8" s="1100"/>
      <c r="P8" s="1102"/>
      <c r="Q8" s="1098"/>
      <c r="R8" s="1100"/>
      <c r="S8" s="1102"/>
      <c r="T8" s="44"/>
    </row>
    <row r="9" spans="2:20" ht="39" customHeight="1">
      <c r="B9" s="1104"/>
      <c r="C9" s="621" t="s">
        <v>703</v>
      </c>
      <c r="D9" s="613" t="s">
        <v>262</v>
      </c>
      <c r="E9" s="613" t="s">
        <v>704</v>
      </c>
      <c r="F9" s="699">
        <v>1</v>
      </c>
      <c r="G9" s="609">
        <v>1</v>
      </c>
      <c r="H9" s="609">
        <f>(+G9/F9)*100</f>
        <v>100</v>
      </c>
      <c r="I9" s="741"/>
      <c r="J9" s="699">
        <v>1</v>
      </c>
      <c r="K9" s="699">
        <v>1</v>
      </c>
      <c r="L9" s="609">
        <f t="shared" si="0"/>
        <v>100</v>
      </c>
      <c r="M9" s="1096"/>
      <c r="N9" s="1098"/>
      <c r="O9" s="1100"/>
      <c r="P9" s="1102"/>
      <c r="Q9" s="1098"/>
      <c r="R9" s="1100"/>
      <c r="S9" s="1102"/>
      <c r="T9" s="44" t="s">
        <v>973</v>
      </c>
    </row>
    <row r="10" spans="2:20" ht="59.25" customHeight="1">
      <c r="B10" s="1104"/>
      <c r="C10" s="621" t="s">
        <v>705</v>
      </c>
      <c r="D10" s="613" t="s">
        <v>702</v>
      </c>
      <c r="E10" s="613" t="s">
        <v>706</v>
      </c>
      <c r="F10" s="699">
        <v>21</v>
      </c>
      <c r="G10" s="609">
        <v>21</v>
      </c>
      <c r="H10" s="609">
        <f>(+G10/F10)*100</f>
        <v>100</v>
      </c>
      <c r="I10" s="741"/>
      <c r="J10" s="699">
        <v>21</v>
      </c>
      <c r="K10" s="609">
        <v>21</v>
      </c>
      <c r="L10" s="609">
        <f t="shared" si="0"/>
        <v>100</v>
      </c>
      <c r="M10" s="1096"/>
      <c r="N10" s="1098"/>
      <c r="O10" s="1100"/>
      <c r="P10" s="1102"/>
      <c r="Q10" s="1098"/>
      <c r="R10" s="1100"/>
      <c r="S10" s="1102"/>
      <c r="T10" s="44"/>
    </row>
    <row r="11" spans="2:20" ht="33.75" customHeight="1">
      <c r="B11" s="1104"/>
      <c r="C11" s="704" t="s">
        <v>507</v>
      </c>
      <c r="D11" s="240" t="s">
        <v>508</v>
      </c>
      <c r="E11" s="1110" t="s">
        <v>80</v>
      </c>
      <c r="F11" s="267" t="s">
        <v>56</v>
      </c>
      <c r="G11" s="205" t="s">
        <v>56</v>
      </c>
      <c r="H11" s="205" t="s">
        <v>56</v>
      </c>
      <c r="I11" s="96"/>
      <c r="J11" s="700">
        <v>2</v>
      </c>
      <c r="K11" s="578">
        <v>2</v>
      </c>
      <c r="L11" s="576">
        <f t="shared" si="0"/>
        <v>100</v>
      </c>
      <c r="M11" s="1096"/>
      <c r="N11" s="1098"/>
      <c r="O11" s="1100"/>
      <c r="P11" s="1102"/>
      <c r="Q11" s="1098"/>
      <c r="R11" s="1100"/>
      <c r="S11" s="1102"/>
      <c r="T11" s="44"/>
    </row>
    <row r="12" spans="2:20" ht="30.75" customHeight="1">
      <c r="B12" s="1104"/>
      <c r="C12" s="594" t="s">
        <v>509</v>
      </c>
      <c r="D12" s="579" t="s">
        <v>508</v>
      </c>
      <c r="E12" s="902"/>
      <c r="F12" s="267" t="s">
        <v>56</v>
      </c>
      <c r="G12" s="205" t="s">
        <v>56</v>
      </c>
      <c r="H12" s="205" t="s">
        <v>56</v>
      </c>
      <c r="I12" s="207"/>
      <c r="J12" s="700">
        <v>8</v>
      </c>
      <c r="K12" s="578">
        <v>8</v>
      </c>
      <c r="L12" s="576">
        <f t="shared" si="0"/>
        <v>100</v>
      </c>
      <c r="M12" s="1096"/>
      <c r="N12" s="1098"/>
      <c r="O12" s="1100"/>
      <c r="P12" s="1102"/>
      <c r="Q12" s="1098"/>
      <c r="R12" s="1100"/>
      <c r="S12" s="1102"/>
      <c r="T12" s="44"/>
    </row>
    <row r="13" spans="2:20" ht="33" customHeight="1">
      <c r="B13" s="1104"/>
      <c r="C13" s="594" t="s">
        <v>79</v>
      </c>
      <c r="D13" s="579" t="s">
        <v>356</v>
      </c>
      <c r="E13" s="902"/>
      <c r="F13" s="267" t="s">
        <v>56</v>
      </c>
      <c r="G13" s="205" t="s">
        <v>56</v>
      </c>
      <c r="H13" s="205" t="s">
        <v>56</v>
      </c>
      <c r="I13" s="207"/>
      <c r="J13" s="700">
        <v>14</v>
      </c>
      <c r="K13" s="578">
        <v>14</v>
      </c>
      <c r="L13" s="576">
        <f t="shared" si="0"/>
        <v>100</v>
      </c>
      <c r="M13" s="1096"/>
      <c r="N13" s="1098"/>
      <c r="O13" s="1100"/>
      <c r="P13" s="1102"/>
      <c r="Q13" s="1098"/>
      <c r="R13" s="1100"/>
      <c r="S13" s="1102"/>
      <c r="T13" s="44"/>
    </row>
    <row r="14" spans="2:20" ht="21" customHeight="1">
      <c r="B14" s="1104"/>
      <c r="C14" s="594" t="s">
        <v>81</v>
      </c>
      <c r="D14" s="579" t="s">
        <v>357</v>
      </c>
      <c r="E14" s="902"/>
      <c r="F14" s="267" t="s">
        <v>56</v>
      </c>
      <c r="G14" s="205" t="s">
        <v>56</v>
      </c>
      <c r="H14" s="205" t="s">
        <v>56</v>
      </c>
      <c r="I14" s="207"/>
      <c r="J14" s="700">
        <v>1</v>
      </c>
      <c r="K14" s="578">
        <v>1</v>
      </c>
      <c r="L14" s="576">
        <f aca="true" t="shared" si="1" ref="L14:L38">(+K14/J14)*100</f>
        <v>100</v>
      </c>
      <c r="M14" s="1096"/>
      <c r="N14" s="1098"/>
      <c r="O14" s="1100"/>
      <c r="P14" s="1102"/>
      <c r="Q14" s="1098"/>
      <c r="R14" s="1100"/>
      <c r="S14" s="1102"/>
      <c r="T14" s="44"/>
    </row>
    <row r="15" spans="2:20" ht="34.5" customHeight="1">
      <c r="B15" s="1104"/>
      <c r="C15" s="594" t="s">
        <v>97</v>
      </c>
      <c r="D15" s="579" t="s">
        <v>356</v>
      </c>
      <c r="E15" s="902"/>
      <c r="F15" s="267" t="s">
        <v>56</v>
      </c>
      <c r="G15" s="205" t="s">
        <v>56</v>
      </c>
      <c r="H15" s="205" t="s">
        <v>56</v>
      </c>
      <c r="I15" s="207"/>
      <c r="J15" s="700">
        <v>10</v>
      </c>
      <c r="K15" s="578">
        <v>11</v>
      </c>
      <c r="L15" s="576">
        <v>100</v>
      </c>
      <c r="M15" s="1096"/>
      <c r="N15" s="1098"/>
      <c r="O15" s="1100"/>
      <c r="P15" s="1102"/>
      <c r="Q15" s="1098"/>
      <c r="R15" s="1100"/>
      <c r="S15" s="1102"/>
      <c r="T15" s="44"/>
    </row>
    <row r="16" spans="2:20" ht="29.25" customHeight="1">
      <c r="B16" s="1104"/>
      <c r="C16" s="594" t="s">
        <v>82</v>
      </c>
      <c r="D16" s="579" t="s">
        <v>368</v>
      </c>
      <c r="E16" s="902"/>
      <c r="F16" s="267" t="s">
        <v>56</v>
      </c>
      <c r="G16" s="205" t="s">
        <v>56</v>
      </c>
      <c r="H16" s="205" t="s">
        <v>56</v>
      </c>
      <c r="I16" s="207"/>
      <c r="J16" s="700">
        <v>2</v>
      </c>
      <c r="K16" s="578">
        <v>2</v>
      </c>
      <c r="L16" s="576">
        <f t="shared" si="1"/>
        <v>100</v>
      </c>
      <c r="M16" s="1096"/>
      <c r="N16" s="1098"/>
      <c r="O16" s="1100"/>
      <c r="P16" s="1102"/>
      <c r="Q16" s="1098"/>
      <c r="R16" s="1100"/>
      <c r="S16" s="1102"/>
      <c r="T16" s="44"/>
    </row>
    <row r="17" spans="2:20" ht="29.25" customHeight="1">
      <c r="B17" s="1104"/>
      <c r="C17" s="594" t="s">
        <v>83</v>
      </c>
      <c r="D17" s="579" t="s">
        <v>369</v>
      </c>
      <c r="E17" s="902"/>
      <c r="F17" s="267" t="s">
        <v>56</v>
      </c>
      <c r="G17" s="205" t="s">
        <v>56</v>
      </c>
      <c r="H17" s="205" t="s">
        <v>56</v>
      </c>
      <c r="I17" s="207"/>
      <c r="J17" s="700">
        <v>21</v>
      </c>
      <c r="K17" s="578">
        <v>21</v>
      </c>
      <c r="L17" s="576">
        <f t="shared" si="1"/>
        <v>100</v>
      </c>
      <c r="M17" s="1096"/>
      <c r="N17" s="1098"/>
      <c r="O17" s="1100"/>
      <c r="P17" s="1102"/>
      <c r="Q17" s="1098"/>
      <c r="R17" s="1100"/>
      <c r="S17" s="1102"/>
      <c r="T17" s="44"/>
    </row>
    <row r="18" spans="2:20" ht="29.25" customHeight="1">
      <c r="B18" s="1104"/>
      <c r="C18" s="594" t="s">
        <v>84</v>
      </c>
      <c r="D18" s="579" t="s">
        <v>85</v>
      </c>
      <c r="E18" s="902"/>
      <c r="F18" s="267" t="s">
        <v>56</v>
      </c>
      <c r="G18" s="205" t="s">
        <v>56</v>
      </c>
      <c r="H18" s="205" t="s">
        <v>56</v>
      </c>
      <c r="I18" s="207"/>
      <c r="J18" s="700">
        <v>1</v>
      </c>
      <c r="K18" s="578">
        <v>1</v>
      </c>
      <c r="L18" s="576">
        <f t="shared" si="1"/>
        <v>100</v>
      </c>
      <c r="M18" s="1096"/>
      <c r="N18" s="1098"/>
      <c r="O18" s="1100"/>
      <c r="P18" s="1102"/>
      <c r="Q18" s="1098"/>
      <c r="R18" s="1100"/>
      <c r="S18" s="1102"/>
      <c r="T18" s="44"/>
    </row>
    <row r="19" spans="2:20" ht="27.75" customHeight="1">
      <c r="B19" s="1104"/>
      <c r="C19" s="594" t="s">
        <v>86</v>
      </c>
      <c r="D19" s="579" t="s">
        <v>389</v>
      </c>
      <c r="E19" s="902"/>
      <c r="F19" s="267" t="s">
        <v>56</v>
      </c>
      <c r="G19" s="205" t="s">
        <v>56</v>
      </c>
      <c r="H19" s="205" t="s">
        <v>56</v>
      </c>
      <c r="I19" s="207"/>
      <c r="J19" s="700">
        <v>1</v>
      </c>
      <c r="K19" s="578">
        <v>1</v>
      </c>
      <c r="L19" s="576">
        <f t="shared" si="1"/>
        <v>100</v>
      </c>
      <c r="M19" s="1096"/>
      <c r="N19" s="1098"/>
      <c r="O19" s="1100"/>
      <c r="P19" s="1102"/>
      <c r="Q19" s="1098"/>
      <c r="R19" s="1100"/>
      <c r="S19" s="1102"/>
      <c r="T19" s="44"/>
    </row>
    <row r="20" spans="2:20" ht="29.25" customHeight="1">
      <c r="B20" s="1104"/>
      <c r="C20" s="594" t="s">
        <v>87</v>
      </c>
      <c r="D20" s="579" t="s">
        <v>265</v>
      </c>
      <c r="E20" s="902"/>
      <c r="F20" s="267" t="s">
        <v>56</v>
      </c>
      <c r="G20" s="205" t="s">
        <v>56</v>
      </c>
      <c r="H20" s="205" t="s">
        <v>56</v>
      </c>
      <c r="I20" s="207"/>
      <c r="J20" s="700">
        <v>100</v>
      </c>
      <c r="K20" s="578">
        <v>100</v>
      </c>
      <c r="L20" s="576">
        <f t="shared" si="1"/>
        <v>100</v>
      </c>
      <c r="M20" s="1096"/>
      <c r="N20" s="1098"/>
      <c r="O20" s="1100"/>
      <c r="P20" s="1102"/>
      <c r="Q20" s="1098"/>
      <c r="R20" s="1100"/>
      <c r="S20" s="1102"/>
      <c r="T20" s="44"/>
    </row>
    <row r="21" spans="2:20" ht="29.25" customHeight="1" thickBot="1">
      <c r="B21" s="1105"/>
      <c r="C21" s="594" t="s">
        <v>97</v>
      </c>
      <c r="D21" s="579" t="s">
        <v>131</v>
      </c>
      <c r="E21" s="902"/>
      <c r="F21" s="267" t="s">
        <v>56</v>
      </c>
      <c r="G21" s="205" t="s">
        <v>56</v>
      </c>
      <c r="H21" s="205" t="s">
        <v>56</v>
      </c>
      <c r="I21" s="207"/>
      <c r="J21" s="700">
        <v>100</v>
      </c>
      <c r="K21" s="578">
        <v>100</v>
      </c>
      <c r="L21" s="576">
        <f t="shared" si="1"/>
        <v>100</v>
      </c>
      <c r="M21" s="1096"/>
      <c r="N21" s="1098"/>
      <c r="O21" s="1100"/>
      <c r="P21" s="1102"/>
      <c r="Q21" s="1098"/>
      <c r="R21" s="1100"/>
      <c r="S21" s="1102"/>
      <c r="T21" s="44"/>
    </row>
    <row r="22" spans="2:20" ht="25.5" customHeight="1">
      <c r="B22" s="1103" t="s">
        <v>306</v>
      </c>
      <c r="C22" s="1117" t="s">
        <v>88</v>
      </c>
      <c r="D22" s="902" t="s">
        <v>130</v>
      </c>
      <c r="E22" s="579" t="s">
        <v>89</v>
      </c>
      <c r="F22" s="267" t="s">
        <v>56</v>
      </c>
      <c r="G22" s="205" t="s">
        <v>56</v>
      </c>
      <c r="H22" s="205" t="s">
        <v>56</v>
      </c>
      <c r="I22" s="207"/>
      <c r="J22" s="701">
        <v>21</v>
      </c>
      <c r="K22" s="271">
        <v>21</v>
      </c>
      <c r="L22" s="576">
        <f t="shared" si="1"/>
        <v>100</v>
      </c>
      <c r="M22" s="750"/>
      <c r="N22" s="751"/>
      <c r="O22" s="752"/>
      <c r="P22" s="753"/>
      <c r="Q22" s="751"/>
      <c r="R22" s="752"/>
      <c r="S22" s="753"/>
      <c r="T22" s="44"/>
    </row>
    <row r="23" spans="2:20" ht="28.5" customHeight="1">
      <c r="B23" s="1104"/>
      <c r="C23" s="1117"/>
      <c r="D23" s="902"/>
      <c r="E23" s="579" t="s">
        <v>90</v>
      </c>
      <c r="F23" s="267" t="s">
        <v>56</v>
      </c>
      <c r="G23" s="205" t="s">
        <v>56</v>
      </c>
      <c r="H23" s="205" t="s">
        <v>56</v>
      </c>
      <c r="I23" s="207"/>
      <c r="J23" s="701">
        <v>20</v>
      </c>
      <c r="K23" s="578">
        <v>20</v>
      </c>
      <c r="L23" s="576">
        <f t="shared" si="1"/>
        <v>100</v>
      </c>
      <c r="M23" s="750"/>
      <c r="N23" s="751"/>
      <c r="O23" s="752"/>
      <c r="P23" s="753"/>
      <c r="Q23" s="751"/>
      <c r="R23" s="752"/>
      <c r="S23" s="753"/>
      <c r="T23" s="44"/>
    </row>
    <row r="24" spans="2:22" ht="28.5" customHeight="1">
      <c r="B24" s="1104"/>
      <c r="C24" s="594" t="s">
        <v>91</v>
      </c>
      <c r="D24" s="579" t="s">
        <v>390</v>
      </c>
      <c r="E24" s="902" t="s">
        <v>92</v>
      </c>
      <c r="F24" s="267" t="s">
        <v>56</v>
      </c>
      <c r="G24" s="205" t="s">
        <v>56</v>
      </c>
      <c r="H24" s="205" t="s">
        <v>56</v>
      </c>
      <c r="I24" s="207"/>
      <c r="J24" s="700">
        <v>5</v>
      </c>
      <c r="K24" s="578">
        <v>5</v>
      </c>
      <c r="L24" s="576">
        <f t="shared" si="1"/>
        <v>100</v>
      </c>
      <c r="M24" s="750"/>
      <c r="N24" s="751"/>
      <c r="O24" s="752"/>
      <c r="P24" s="753"/>
      <c r="Q24" s="751"/>
      <c r="R24" s="752"/>
      <c r="S24" s="753"/>
      <c r="T24" s="44"/>
      <c r="U24">
        <v>1150000000</v>
      </c>
      <c r="V24">
        <v>938290438</v>
      </c>
    </row>
    <row r="25" spans="2:20" ht="35.25" customHeight="1">
      <c r="B25" s="1104"/>
      <c r="C25" s="594" t="s">
        <v>98</v>
      </c>
      <c r="D25" s="579" t="s">
        <v>391</v>
      </c>
      <c r="E25" s="902"/>
      <c r="F25" s="267" t="s">
        <v>56</v>
      </c>
      <c r="G25" s="205" t="s">
        <v>56</v>
      </c>
      <c r="H25" s="205" t="s">
        <v>56</v>
      </c>
      <c r="I25" s="207"/>
      <c r="J25" s="536">
        <v>1</v>
      </c>
      <c r="K25" s="167">
        <v>1</v>
      </c>
      <c r="L25" s="576">
        <f t="shared" si="1"/>
        <v>100</v>
      </c>
      <c r="M25" s="750"/>
      <c r="N25" s="751"/>
      <c r="O25" s="752"/>
      <c r="P25" s="753"/>
      <c r="Q25" s="751"/>
      <c r="R25" s="752"/>
      <c r="S25" s="753"/>
      <c r="T25" s="44"/>
    </row>
    <row r="26" spans="2:20" ht="38.25" customHeight="1">
      <c r="B26" s="1104"/>
      <c r="C26" s="594" t="s">
        <v>93</v>
      </c>
      <c r="D26" s="579" t="s">
        <v>392</v>
      </c>
      <c r="E26" s="902"/>
      <c r="F26" s="267" t="s">
        <v>56</v>
      </c>
      <c r="G26" s="205" t="s">
        <v>56</v>
      </c>
      <c r="H26" s="205" t="s">
        <v>56</v>
      </c>
      <c r="I26" s="207"/>
      <c r="J26" s="701">
        <v>21</v>
      </c>
      <c r="K26" s="271">
        <v>21</v>
      </c>
      <c r="L26" s="576">
        <f t="shared" si="1"/>
        <v>100</v>
      </c>
      <c r="M26" s="750"/>
      <c r="N26" s="751"/>
      <c r="O26" s="752"/>
      <c r="P26" s="753"/>
      <c r="Q26" s="751"/>
      <c r="R26" s="752"/>
      <c r="S26" s="753"/>
      <c r="T26" s="44"/>
    </row>
    <row r="27" spans="2:20" ht="31.5" customHeight="1">
      <c r="B27" s="1104"/>
      <c r="C27" s="594" t="s">
        <v>510</v>
      </c>
      <c r="D27" s="579" t="s">
        <v>369</v>
      </c>
      <c r="E27" s="902" t="s">
        <v>95</v>
      </c>
      <c r="F27" s="267" t="s">
        <v>56</v>
      </c>
      <c r="G27" s="205" t="s">
        <v>56</v>
      </c>
      <c r="H27" s="205" t="s">
        <v>56</v>
      </c>
      <c r="I27" s="207"/>
      <c r="J27" s="702">
        <v>7</v>
      </c>
      <c r="K27" s="271">
        <v>21</v>
      </c>
      <c r="L27" s="576">
        <v>100</v>
      </c>
      <c r="M27" s="750"/>
      <c r="N27" s="751"/>
      <c r="O27" s="752"/>
      <c r="P27" s="753"/>
      <c r="Q27" s="751"/>
      <c r="R27" s="752"/>
      <c r="S27" s="753"/>
      <c r="T27" s="44"/>
    </row>
    <row r="28" spans="2:20" ht="49.5" customHeight="1">
      <c r="B28" s="1104"/>
      <c r="C28" s="594" t="s">
        <v>511</v>
      </c>
      <c r="D28" s="579" t="s">
        <v>515</v>
      </c>
      <c r="E28" s="902"/>
      <c r="F28" s="267" t="s">
        <v>56</v>
      </c>
      <c r="G28" s="205" t="s">
        <v>56</v>
      </c>
      <c r="H28" s="205" t="s">
        <v>56</v>
      </c>
      <c r="I28" s="207"/>
      <c r="J28" s="702">
        <v>3</v>
      </c>
      <c r="K28" s="271">
        <v>3</v>
      </c>
      <c r="L28" s="576">
        <f>(+K28/J28)*100</f>
        <v>100</v>
      </c>
      <c r="M28" s="750"/>
      <c r="N28" s="751"/>
      <c r="O28" s="752"/>
      <c r="P28" s="753"/>
      <c r="Q28" s="751"/>
      <c r="R28" s="752"/>
      <c r="S28" s="753"/>
      <c r="T28" s="44"/>
    </row>
    <row r="29" spans="2:20" ht="36" customHeight="1">
      <c r="B29" s="1104"/>
      <c r="C29" s="594" t="s">
        <v>512</v>
      </c>
      <c r="D29" s="579" t="s">
        <v>516</v>
      </c>
      <c r="E29" s="902"/>
      <c r="F29" s="267" t="s">
        <v>56</v>
      </c>
      <c r="G29" s="205" t="s">
        <v>56</v>
      </c>
      <c r="H29" s="205" t="s">
        <v>56</v>
      </c>
      <c r="I29" s="207"/>
      <c r="J29" s="702">
        <v>6</v>
      </c>
      <c r="K29" s="271">
        <v>6</v>
      </c>
      <c r="L29" s="576">
        <f>(+K29/J29)*100</f>
        <v>100</v>
      </c>
      <c r="M29" s="750"/>
      <c r="N29" s="751"/>
      <c r="O29" s="752"/>
      <c r="P29" s="753"/>
      <c r="Q29" s="751"/>
      <c r="R29" s="752"/>
      <c r="S29" s="753"/>
      <c r="T29" s="44"/>
    </row>
    <row r="30" spans="2:20" ht="28.5" customHeight="1">
      <c r="B30" s="1104"/>
      <c r="C30" s="595" t="s">
        <v>513</v>
      </c>
      <c r="D30" s="579" t="s">
        <v>369</v>
      </c>
      <c r="E30" s="902"/>
      <c r="F30" s="267" t="s">
        <v>56</v>
      </c>
      <c r="G30" s="205" t="s">
        <v>56</v>
      </c>
      <c r="H30" s="205" t="s">
        <v>56</v>
      </c>
      <c r="I30" s="207"/>
      <c r="J30" s="702">
        <v>4</v>
      </c>
      <c r="K30" s="271">
        <v>4</v>
      </c>
      <c r="L30" s="576">
        <f>(+K30/J30)*100</f>
        <v>100</v>
      </c>
      <c r="M30" s="750"/>
      <c r="N30" s="751"/>
      <c r="O30" s="752"/>
      <c r="P30" s="753"/>
      <c r="Q30" s="751"/>
      <c r="R30" s="752"/>
      <c r="S30" s="753"/>
      <c r="T30" s="44"/>
    </row>
    <row r="31" spans="2:20" ht="30" customHeight="1">
      <c r="B31" s="1104"/>
      <c r="C31" s="594" t="s">
        <v>514</v>
      </c>
      <c r="D31" s="579" t="s">
        <v>249</v>
      </c>
      <c r="E31" s="902"/>
      <c r="F31" s="267" t="s">
        <v>56</v>
      </c>
      <c r="G31" s="205" t="s">
        <v>56</v>
      </c>
      <c r="H31" s="205" t="s">
        <v>56</v>
      </c>
      <c r="I31" s="207"/>
      <c r="J31" s="702">
        <v>4</v>
      </c>
      <c r="K31" s="271">
        <v>4</v>
      </c>
      <c r="L31" s="576">
        <f>(+K31/J31)*100</f>
        <v>100</v>
      </c>
      <c r="M31" s="750"/>
      <c r="N31" s="751"/>
      <c r="O31" s="752"/>
      <c r="P31" s="753"/>
      <c r="Q31" s="751"/>
      <c r="R31" s="752"/>
      <c r="S31" s="753"/>
      <c r="T31" s="44"/>
    </row>
    <row r="32" spans="2:20" ht="46.5" customHeight="1">
      <c r="B32" s="1104"/>
      <c r="C32" s="594" t="s">
        <v>94</v>
      </c>
      <c r="D32" s="579" t="s">
        <v>130</v>
      </c>
      <c r="E32" s="902"/>
      <c r="F32" s="267" t="s">
        <v>56</v>
      </c>
      <c r="G32" s="205" t="s">
        <v>56</v>
      </c>
      <c r="H32" s="205" t="s">
        <v>56</v>
      </c>
      <c r="I32" s="207"/>
      <c r="J32" s="700">
        <v>20</v>
      </c>
      <c r="K32" s="578">
        <v>20</v>
      </c>
      <c r="L32" s="576">
        <f t="shared" si="1"/>
        <v>100</v>
      </c>
      <c r="M32" s="750"/>
      <c r="N32" s="751"/>
      <c r="O32" s="752"/>
      <c r="P32" s="753"/>
      <c r="Q32" s="751"/>
      <c r="R32" s="752"/>
      <c r="S32" s="753"/>
      <c r="T32" s="44"/>
    </row>
    <row r="33" spans="2:20" ht="35.25" customHeight="1">
      <c r="B33" s="1104"/>
      <c r="C33" s="594" t="s">
        <v>96</v>
      </c>
      <c r="D33" s="579" t="s">
        <v>129</v>
      </c>
      <c r="E33" s="579" t="s">
        <v>619</v>
      </c>
      <c r="F33" s="267" t="s">
        <v>56</v>
      </c>
      <c r="G33" s="205" t="s">
        <v>56</v>
      </c>
      <c r="H33" s="205" t="s">
        <v>56</v>
      </c>
      <c r="I33" s="207"/>
      <c r="J33" s="700">
        <v>20</v>
      </c>
      <c r="K33" s="578">
        <v>20</v>
      </c>
      <c r="L33" s="576">
        <f t="shared" si="1"/>
        <v>100</v>
      </c>
      <c r="M33" s="750"/>
      <c r="N33" s="751"/>
      <c r="O33" s="752"/>
      <c r="P33" s="753"/>
      <c r="Q33" s="751"/>
      <c r="R33" s="752"/>
      <c r="S33" s="753"/>
      <c r="T33" s="44"/>
    </row>
    <row r="34" spans="2:20" ht="45.75" customHeight="1">
      <c r="B34" s="1104"/>
      <c r="C34" s="594" t="s">
        <v>37</v>
      </c>
      <c r="D34" s="579" t="s">
        <v>38</v>
      </c>
      <c r="E34" s="902" t="s">
        <v>39</v>
      </c>
      <c r="F34" s="267" t="s">
        <v>56</v>
      </c>
      <c r="G34" s="205" t="s">
        <v>56</v>
      </c>
      <c r="H34" s="205" t="s">
        <v>56</v>
      </c>
      <c r="I34" s="207"/>
      <c r="J34" s="700">
        <v>2</v>
      </c>
      <c r="K34" s="578">
        <v>2</v>
      </c>
      <c r="L34" s="576">
        <f t="shared" si="1"/>
        <v>100</v>
      </c>
      <c r="M34" s="750"/>
      <c r="N34" s="751"/>
      <c r="O34" s="752"/>
      <c r="P34" s="753"/>
      <c r="Q34" s="751"/>
      <c r="R34" s="752"/>
      <c r="S34" s="753"/>
      <c r="T34" s="44"/>
    </row>
    <row r="35" spans="2:20" ht="31.5" customHeight="1">
      <c r="B35" s="1104"/>
      <c r="C35" s="594" t="s">
        <v>40</v>
      </c>
      <c r="D35" s="579" t="s">
        <v>41</v>
      </c>
      <c r="E35" s="902"/>
      <c r="F35" s="267" t="s">
        <v>56</v>
      </c>
      <c r="G35" s="205" t="s">
        <v>56</v>
      </c>
      <c r="H35" s="205" t="s">
        <v>56</v>
      </c>
      <c r="I35" s="207"/>
      <c r="J35" s="700">
        <v>4</v>
      </c>
      <c r="K35" s="578">
        <v>3.25</v>
      </c>
      <c r="L35" s="576">
        <f t="shared" si="1"/>
        <v>81.25</v>
      </c>
      <c r="M35" s="750"/>
      <c r="N35" s="751"/>
      <c r="O35" s="752"/>
      <c r="P35" s="753"/>
      <c r="Q35" s="751"/>
      <c r="R35" s="752"/>
      <c r="S35" s="753"/>
      <c r="T35" s="44"/>
    </row>
    <row r="36" spans="2:20" ht="51.75" customHeight="1">
      <c r="B36" s="1104"/>
      <c r="C36" s="594" t="s">
        <v>42</v>
      </c>
      <c r="D36" s="579" t="s">
        <v>43</v>
      </c>
      <c r="E36" s="902"/>
      <c r="F36" s="267" t="s">
        <v>56</v>
      </c>
      <c r="G36" s="205" t="s">
        <v>56</v>
      </c>
      <c r="H36" s="205" t="s">
        <v>56</v>
      </c>
      <c r="I36" s="207"/>
      <c r="J36" s="700">
        <v>1</v>
      </c>
      <c r="K36" s="578">
        <v>1</v>
      </c>
      <c r="L36" s="576">
        <f t="shared" si="1"/>
        <v>100</v>
      </c>
      <c r="M36" s="750"/>
      <c r="N36" s="751"/>
      <c r="O36" s="752"/>
      <c r="P36" s="753"/>
      <c r="Q36" s="751"/>
      <c r="R36" s="752"/>
      <c r="S36" s="753"/>
      <c r="T36" s="44"/>
    </row>
    <row r="37" spans="2:20" ht="50.25" customHeight="1">
      <c r="B37" s="1104"/>
      <c r="C37" s="594" t="s">
        <v>44</v>
      </c>
      <c r="D37" s="579" t="s">
        <v>369</v>
      </c>
      <c r="E37" s="902"/>
      <c r="F37" s="267" t="s">
        <v>56</v>
      </c>
      <c r="G37" s="205" t="s">
        <v>56</v>
      </c>
      <c r="H37" s="205" t="s">
        <v>56</v>
      </c>
      <c r="I37" s="207"/>
      <c r="J37" s="700">
        <v>1</v>
      </c>
      <c r="K37" s="578">
        <v>1</v>
      </c>
      <c r="L37" s="576">
        <f t="shared" si="1"/>
        <v>100</v>
      </c>
      <c r="M37" s="750"/>
      <c r="N37" s="751"/>
      <c r="O37" s="752"/>
      <c r="P37" s="753"/>
      <c r="Q37" s="751"/>
      <c r="R37" s="752"/>
      <c r="S37" s="753"/>
      <c r="T37" s="44"/>
    </row>
    <row r="38" spans="2:20" ht="48.75" customHeight="1">
      <c r="B38" s="1104"/>
      <c r="C38" s="594" t="s">
        <v>45</v>
      </c>
      <c r="D38" s="579" t="s">
        <v>248</v>
      </c>
      <c r="E38" s="902"/>
      <c r="F38" s="267" t="s">
        <v>56</v>
      </c>
      <c r="G38" s="205" t="s">
        <v>56</v>
      </c>
      <c r="H38" s="205" t="s">
        <v>56</v>
      </c>
      <c r="I38" s="207"/>
      <c r="J38" s="700">
        <v>90</v>
      </c>
      <c r="K38" s="578">
        <v>90</v>
      </c>
      <c r="L38" s="576">
        <f t="shared" si="1"/>
        <v>100</v>
      </c>
      <c r="M38" s="750"/>
      <c r="N38" s="751"/>
      <c r="O38" s="752"/>
      <c r="P38" s="753"/>
      <c r="Q38" s="751"/>
      <c r="R38" s="752"/>
      <c r="S38" s="753"/>
      <c r="T38" s="44"/>
    </row>
    <row r="39" spans="2:20" ht="66" customHeight="1" thickBot="1">
      <c r="B39" s="1104"/>
      <c r="C39" s="705" t="s">
        <v>46</v>
      </c>
      <c r="D39" s="128" t="s">
        <v>47</v>
      </c>
      <c r="E39" s="1119"/>
      <c r="F39" s="267" t="s">
        <v>56</v>
      </c>
      <c r="G39" s="205" t="s">
        <v>56</v>
      </c>
      <c r="H39" s="205" t="s">
        <v>56</v>
      </c>
      <c r="I39" s="269"/>
      <c r="J39" s="703">
        <v>11</v>
      </c>
      <c r="K39" s="102">
        <v>15</v>
      </c>
      <c r="L39" s="181">
        <v>100</v>
      </c>
      <c r="M39" s="750"/>
      <c r="N39" s="751"/>
      <c r="O39" s="752"/>
      <c r="P39" s="753"/>
      <c r="Q39" s="751"/>
      <c r="R39" s="752"/>
      <c r="S39" s="753"/>
      <c r="T39" s="44"/>
    </row>
    <row r="40" spans="2:20" ht="47.25" customHeight="1" thickBot="1">
      <c r="B40" s="1105"/>
      <c r="C40" s="258" t="s">
        <v>659</v>
      </c>
      <c r="D40" s="258"/>
      <c r="E40" s="68"/>
      <c r="F40" s="259">
        <v>500</v>
      </c>
      <c r="G40" s="260"/>
      <c r="H40" s="260">
        <f>SUM(H6:H39)</f>
        <v>500</v>
      </c>
      <c r="I40" s="248">
        <f>(+H40/F40)*100</f>
        <v>100</v>
      </c>
      <c r="J40" s="261">
        <v>3400</v>
      </c>
      <c r="K40" s="262"/>
      <c r="L40" s="263">
        <f>SUM(L6:L39)</f>
        <v>3351.25</v>
      </c>
      <c r="M40" s="754"/>
      <c r="N40" s="755"/>
      <c r="O40" s="756"/>
      <c r="P40" s="757"/>
      <c r="Q40" s="755"/>
      <c r="R40" s="756"/>
      <c r="S40" s="757"/>
      <c r="T40" s="66">
        <f>(+L40/J40)*100</f>
        <v>98.56617647058825</v>
      </c>
    </row>
    <row r="41" spans="2:20" ht="41.25" customHeight="1" thickBot="1">
      <c r="B41" s="923" t="s">
        <v>695</v>
      </c>
      <c r="C41" s="43"/>
      <c r="D41" s="924" t="s">
        <v>293</v>
      </c>
      <c r="E41" s="1113"/>
      <c r="F41" s="1113"/>
      <c r="G41" s="1113"/>
      <c r="H41" s="1113"/>
      <c r="I41" s="1113"/>
      <c r="J41" s="1113"/>
      <c r="K41" s="1113"/>
      <c r="L41" s="1113"/>
      <c r="M41" s="1114"/>
      <c r="N41" s="924" t="s">
        <v>543</v>
      </c>
      <c r="O41" s="1113"/>
      <c r="P41" s="1113"/>
      <c r="Q41" s="1113"/>
      <c r="R41" s="1113"/>
      <c r="S41" s="1114"/>
      <c r="T41" s="1112" t="s">
        <v>269</v>
      </c>
    </row>
    <row r="42" spans="2:20" ht="368.25" customHeight="1" thickBot="1">
      <c r="B42" s="924"/>
      <c r="C42" s="12" t="s">
        <v>439</v>
      </c>
      <c r="D42" s="12" t="s">
        <v>307</v>
      </c>
      <c r="E42" s="12" t="s">
        <v>294</v>
      </c>
      <c r="F42" s="14" t="s">
        <v>271</v>
      </c>
      <c r="G42" s="14" t="s">
        <v>272</v>
      </c>
      <c r="H42" s="15" t="s">
        <v>284</v>
      </c>
      <c r="I42" s="14" t="s">
        <v>285</v>
      </c>
      <c r="J42" s="14" t="s">
        <v>482</v>
      </c>
      <c r="K42" s="14" t="s">
        <v>286</v>
      </c>
      <c r="L42" s="16" t="s">
        <v>287</v>
      </c>
      <c r="M42" s="14" t="s">
        <v>288</v>
      </c>
      <c r="N42" s="14" t="s">
        <v>270</v>
      </c>
      <c r="O42" s="15" t="s">
        <v>289</v>
      </c>
      <c r="P42" s="14" t="s">
        <v>290</v>
      </c>
      <c r="Q42" s="14" t="s">
        <v>696</v>
      </c>
      <c r="R42" s="15" t="s">
        <v>291</v>
      </c>
      <c r="S42" s="16" t="s">
        <v>292</v>
      </c>
      <c r="T42" s="921"/>
    </row>
    <row r="43" spans="2:20" ht="28.5" customHeight="1" thickBot="1">
      <c r="B43" s="1031" t="s">
        <v>305</v>
      </c>
      <c r="C43" s="1032"/>
      <c r="D43" s="1032"/>
      <c r="E43" s="1032"/>
      <c r="F43" s="1032"/>
      <c r="G43" s="1032"/>
      <c r="H43" s="1032"/>
      <c r="I43" s="1032"/>
      <c r="J43" s="1032"/>
      <c r="K43" s="1032"/>
      <c r="L43" s="1032"/>
      <c r="M43" s="1033"/>
      <c r="N43" s="1033"/>
      <c r="O43" s="1033"/>
      <c r="P43" s="1033"/>
      <c r="Q43" s="1033"/>
      <c r="R43" s="1033"/>
      <c r="S43" s="1033"/>
      <c r="T43" s="1034"/>
    </row>
    <row r="44" spans="2:20" ht="78.75" customHeight="1">
      <c r="B44" s="1103" t="s">
        <v>308</v>
      </c>
      <c r="C44" s="422" t="s">
        <v>708</v>
      </c>
      <c r="D44" s="212" t="s">
        <v>262</v>
      </c>
      <c r="E44" s="212" t="s">
        <v>709</v>
      </c>
      <c r="F44" s="582">
        <v>2</v>
      </c>
      <c r="G44" s="582">
        <v>2</v>
      </c>
      <c r="H44" s="582">
        <f>(+G44/F44)*100</f>
        <v>100</v>
      </c>
      <c r="I44" s="582"/>
      <c r="J44" s="582">
        <v>2</v>
      </c>
      <c r="K44" s="582">
        <v>2</v>
      </c>
      <c r="L44" s="582">
        <f>(+K44/J44)*100</f>
        <v>100</v>
      </c>
      <c r="M44" s="1106">
        <v>60</v>
      </c>
      <c r="N44" s="1108">
        <v>536602045</v>
      </c>
      <c r="O44" s="1108">
        <v>536385931</v>
      </c>
      <c r="P44" s="1115">
        <f>(+O44/N44)*100</f>
        <v>99.95972546097919</v>
      </c>
      <c r="Q44" s="1122">
        <v>1150000000</v>
      </c>
      <c r="R44" s="1108">
        <f>(70280000+30120000+162000000+143209305+13039952+O44)</f>
        <v>955035188</v>
      </c>
      <c r="S44" s="1093">
        <f>(+R44/Q44)*100</f>
        <v>83.04653808695652</v>
      </c>
      <c r="T44" s="24" t="s">
        <v>789</v>
      </c>
    </row>
    <row r="45" spans="2:20" ht="41.25" customHeight="1">
      <c r="B45" s="1104"/>
      <c r="C45" s="423" t="s">
        <v>710</v>
      </c>
      <c r="D45" s="487" t="s">
        <v>262</v>
      </c>
      <c r="E45" s="1060" t="s">
        <v>678</v>
      </c>
      <c r="F45" s="582">
        <v>1</v>
      </c>
      <c r="G45" s="223">
        <v>1</v>
      </c>
      <c r="H45" s="582">
        <f aca="true" t="shared" si="2" ref="H45:H59">(+G45/F45)*100</f>
        <v>100</v>
      </c>
      <c r="I45" s="582"/>
      <c r="J45" s="582">
        <v>1</v>
      </c>
      <c r="K45" s="223">
        <v>1</v>
      </c>
      <c r="L45" s="582">
        <f>(+K45/J45)*100</f>
        <v>100</v>
      </c>
      <c r="M45" s="1107"/>
      <c r="N45" s="1109"/>
      <c r="O45" s="1109"/>
      <c r="P45" s="1116"/>
      <c r="Q45" s="1123"/>
      <c r="R45" s="1109"/>
      <c r="S45" s="1094"/>
      <c r="T45" s="25"/>
    </row>
    <row r="46" spans="2:20" ht="45.75" customHeight="1">
      <c r="B46" s="1104"/>
      <c r="C46" s="423" t="s">
        <v>711</v>
      </c>
      <c r="D46" s="487" t="s">
        <v>265</v>
      </c>
      <c r="E46" s="1060"/>
      <c r="F46" s="582">
        <v>20</v>
      </c>
      <c r="G46" s="223">
        <v>20</v>
      </c>
      <c r="H46" s="582">
        <f t="shared" si="2"/>
        <v>100</v>
      </c>
      <c r="I46" s="582"/>
      <c r="J46" s="582">
        <v>20</v>
      </c>
      <c r="K46" s="223">
        <v>20</v>
      </c>
      <c r="L46" s="582">
        <f>(+K46/J46)*100</f>
        <v>100</v>
      </c>
      <c r="M46" s="1107"/>
      <c r="N46" s="1109"/>
      <c r="O46" s="1109"/>
      <c r="P46" s="1116"/>
      <c r="Q46" s="1123"/>
      <c r="R46" s="1109"/>
      <c r="S46" s="1094"/>
      <c r="T46" s="25"/>
    </row>
    <row r="47" spans="2:20" ht="69.75" customHeight="1">
      <c r="B47" s="1104"/>
      <c r="C47" s="423" t="s">
        <v>712</v>
      </c>
      <c r="D47" s="487" t="s">
        <v>260</v>
      </c>
      <c r="E47" s="487" t="s">
        <v>713</v>
      </c>
      <c r="F47" s="582">
        <v>2</v>
      </c>
      <c r="G47" s="223">
        <v>1</v>
      </c>
      <c r="H47" s="582">
        <f t="shared" si="2"/>
        <v>50</v>
      </c>
      <c r="I47" s="582"/>
      <c r="J47" s="582">
        <v>2</v>
      </c>
      <c r="K47" s="223">
        <v>1</v>
      </c>
      <c r="L47" s="582">
        <f>(+K47/J47)*100</f>
        <v>50</v>
      </c>
      <c r="M47" s="1107"/>
      <c r="N47" s="1109"/>
      <c r="O47" s="1109"/>
      <c r="P47" s="1116"/>
      <c r="Q47" s="1123"/>
      <c r="R47" s="1109"/>
      <c r="S47" s="1094"/>
      <c r="T47" s="25" t="s">
        <v>997</v>
      </c>
    </row>
    <row r="48" spans="2:20" ht="75.75" customHeight="1">
      <c r="B48" s="1104"/>
      <c r="C48" s="423" t="s">
        <v>714</v>
      </c>
      <c r="D48" s="487" t="s">
        <v>260</v>
      </c>
      <c r="E48" s="487" t="s">
        <v>715</v>
      </c>
      <c r="F48" s="582">
        <v>2</v>
      </c>
      <c r="G48" s="223">
        <v>2</v>
      </c>
      <c r="H48" s="582">
        <f t="shared" si="2"/>
        <v>100</v>
      </c>
      <c r="I48" s="582"/>
      <c r="J48" s="582">
        <v>2</v>
      </c>
      <c r="K48" s="223">
        <v>2</v>
      </c>
      <c r="L48" s="582">
        <f>(+K48/J48)*100</f>
        <v>100</v>
      </c>
      <c r="M48" s="1107"/>
      <c r="N48" s="1109"/>
      <c r="O48" s="1109"/>
      <c r="P48" s="1116"/>
      <c r="Q48" s="1123"/>
      <c r="R48" s="1109"/>
      <c r="S48" s="1094"/>
      <c r="T48" s="25"/>
    </row>
    <row r="49" spans="2:20" ht="42.75" customHeight="1">
      <c r="B49" s="1104"/>
      <c r="C49" s="423" t="s">
        <v>716</v>
      </c>
      <c r="D49" s="487" t="s">
        <v>717</v>
      </c>
      <c r="E49" s="1060" t="s">
        <v>718</v>
      </c>
      <c r="F49" s="223">
        <v>50</v>
      </c>
      <c r="G49" s="223">
        <v>250</v>
      </c>
      <c r="H49" s="582">
        <v>100</v>
      </c>
      <c r="I49" s="582"/>
      <c r="J49" s="223">
        <v>50</v>
      </c>
      <c r="K49" s="223">
        <v>250</v>
      </c>
      <c r="L49" s="582">
        <v>100</v>
      </c>
      <c r="M49" s="1107"/>
      <c r="N49" s="1109"/>
      <c r="O49" s="1109"/>
      <c r="P49" s="1116"/>
      <c r="Q49" s="1123"/>
      <c r="R49" s="1109"/>
      <c r="S49" s="1094"/>
      <c r="T49" s="25"/>
    </row>
    <row r="50" spans="2:20" ht="47.25" customHeight="1">
      <c r="B50" s="1104"/>
      <c r="C50" s="423" t="s">
        <v>719</v>
      </c>
      <c r="D50" s="487" t="s">
        <v>265</v>
      </c>
      <c r="E50" s="1060"/>
      <c r="F50" s="223">
        <v>100</v>
      </c>
      <c r="G50" s="223">
        <v>100</v>
      </c>
      <c r="H50" s="582">
        <f t="shared" si="2"/>
        <v>100</v>
      </c>
      <c r="I50" s="582"/>
      <c r="J50" s="223">
        <v>100</v>
      </c>
      <c r="K50" s="223">
        <v>100</v>
      </c>
      <c r="L50" s="582">
        <f aca="true" t="shared" si="3" ref="L50:L59">(+K50/J50)*100</f>
        <v>100</v>
      </c>
      <c r="M50" s="1107"/>
      <c r="N50" s="1109"/>
      <c r="O50" s="1109"/>
      <c r="P50" s="1116"/>
      <c r="Q50" s="1123"/>
      <c r="R50" s="1109"/>
      <c r="S50" s="1094"/>
      <c r="T50" s="25"/>
    </row>
    <row r="51" spans="2:20" ht="78.75" customHeight="1">
      <c r="B51" s="1104"/>
      <c r="C51" s="423" t="s">
        <v>720</v>
      </c>
      <c r="D51" s="487" t="s">
        <v>265</v>
      </c>
      <c r="E51" s="1060"/>
      <c r="F51" s="223">
        <v>100</v>
      </c>
      <c r="G51" s="223">
        <v>100</v>
      </c>
      <c r="H51" s="582">
        <f t="shared" si="2"/>
        <v>100</v>
      </c>
      <c r="I51" s="582"/>
      <c r="J51" s="223">
        <v>100</v>
      </c>
      <c r="K51" s="223">
        <v>100</v>
      </c>
      <c r="L51" s="582">
        <f t="shared" si="3"/>
        <v>100</v>
      </c>
      <c r="M51" s="1107"/>
      <c r="N51" s="1109"/>
      <c r="O51" s="1109"/>
      <c r="P51" s="1116"/>
      <c r="Q51" s="1123"/>
      <c r="R51" s="1109"/>
      <c r="S51" s="1094"/>
      <c r="T51" s="25"/>
    </row>
    <row r="52" spans="2:20" ht="57" customHeight="1">
      <c r="B52" s="1104"/>
      <c r="C52" s="423" t="s">
        <v>721</v>
      </c>
      <c r="D52" s="487" t="s">
        <v>702</v>
      </c>
      <c r="E52" s="1060"/>
      <c r="F52" s="223">
        <v>21</v>
      </c>
      <c r="G52" s="223">
        <v>21</v>
      </c>
      <c r="H52" s="582">
        <f t="shared" si="2"/>
        <v>100</v>
      </c>
      <c r="I52" s="582"/>
      <c r="J52" s="223">
        <v>21</v>
      </c>
      <c r="K52" s="223">
        <v>21</v>
      </c>
      <c r="L52" s="582">
        <f t="shared" si="3"/>
        <v>100</v>
      </c>
      <c r="M52" s="1107"/>
      <c r="N52" s="1109"/>
      <c r="O52" s="1109"/>
      <c r="P52" s="1116"/>
      <c r="Q52" s="1123"/>
      <c r="R52" s="1109"/>
      <c r="S52" s="1094"/>
      <c r="T52" s="25"/>
    </row>
    <row r="53" spans="2:20" ht="25.5" customHeight="1">
      <c r="B53" s="1104"/>
      <c r="C53" s="423" t="s">
        <v>722</v>
      </c>
      <c r="D53" s="487" t="s">
        <v>260</v>
      </c>
      <c r="E53" s="1060"/>
      <c r="F53" s="223">
        <v>5000</v>
      </c>
      <c r="G53" s="223">
        <v>5000</v>
      </c>
      <c r="H53" s="582">
        <f t="shared" si="2"/>
        <v>100</v>
      </c>
      <c r="I53" s="582"/>
      <c r="J53" s="223">
        <v>5000</v>
      </c>
      <c r="K53" s="223">
        <v>5000</v>
      </c>
      <c r="L53" s="582">
        <f t="shared" si="3"/>
        <v>100</v>
      </c>
      <c r="M53" s="1107"/>
      <c r="N53" s="1109"/>
      <c r="O53" s="1109"/>
      <c r="P53" s="1116"/>
      <c r="Q53" s="1123"/>
      <c r="R53" s="1109"/>
      <c r="S53" s="1094"/>
      <c r="T53" s="25"/>
    </row>
    <row r="54" spans="2:20" ht="38.25" customHeight="1">
      <c r="B54" s="1104"/>
      <c r="C54" s="423" t="s">
        <v>723</v>
      </c>
      <c r="D54" s="487" t="s">
        <v>260</v>
      </c>
      <c r="E54" s="1060" t="s">
        <v>724</v>
      </c>
      <c r="F54" s="223">
        <v>1</v>
      </c>
      <c r="G54" s="223">
        <v>1</v>
      </c>
      <c r="H54" s="582">
        <f t="shared" si="2"/>
        <v>100</v>
      </c>
      <c r="I54" s="582"/>
      <c r="J54" s="223">
        <v>1</v>
      </c>
      <c r="K54" s="223">
        <v>1</v>
      </c>
      <c r="L54" s="582">
        <f t="shared" si="3"/>
        <v>100</v>
      </c>
      <c r="M54" s="1107"/>
      <c r="N54" s="1109"/>
      <c r="O54" s="1109"/>
      <c r="P54" s="1116"/>
      <c r="Q54" s="1123"/>
      <c r="R54" s="1109"/>
      <c r="S54" s="1094"/>
      <c r="T54" s="25"/>
    </row>
    <row r="55" spans="2:20" ht="21.75" customHeight="1">
      <c r="B55" s="1104"/>
      <c r="C55" s="423" t="s">
        <v>725</v>
      </c>
      <c r="D55" s="487" t="s">
        <v>260</v>
      </c>
      <c r="E55" s="1060"/>
      <c r="F55" s="223">
        <v>1</v>
      </c>
      <c r="G55" s="223">
        <v>1</v>
      </c>
      <c r="H55" s="582">
        <f t="shared" si="2"/>
        <v>100</v>
      </c>
      <c r="I55" s="582"/>
      <c r="J55" s="223">
        <v>1</v>
      </c>
      <c r="K55" s="223">
        <v>1</v>
      </c>
      <c r="L55" s="582">
        <f t="shared" si="3"/>
        <v>100</v>
      </c>
      <c r="M55" s="1107"/>
      <c r="N55" s="1109"/>
      <c r="O55" s="1109"/>
      <c r="P55" s="1116"/>
      <c r="Q55" s="1123"/>
      <c r="R55" s="1109"/>
      <c r="S55" s="1094"/>
      <c r="T55" s="25"/>
    </row>
    <row r="56" spans="2:20" ht="42.75" customHeight="1" thickBot="1">
      <c r="B56" s="1105"/>
      <c r="C56" s="423" t="s">
        <v>726</v>
      </c>
      <c r="D56" s="487" t="s">
        <v>260</v>
      </c>
      <c r="E56" s="1060"/>
      <c r="F56" s="223">
        <v>1</v>
      </c>
      <c r="G56" s="223">
        <v>1</v>
      </c>
      <c r="H56" s="582">
        <f t="shared" si="2"/>
        <v>100</v>
      </c>
      <c r="I56" s="582"/>
      <c r="J56" s="223">
        <v>1</v>
      </c>
      <c r="K56" s="223">
        <v>1</v>
      </c>
      <c r="L56" s="582">
        <f t="shared" si="3"/>
        <v>100</v>
      </c>
      <c r="M56" s="1107"/>
      <c r="N56" s="1109"/>
      <c r="O56" s="1109"/>
      <c r="P56" s="1116"/>
      <c r="Q56" s="1123"/>
      <c r="R56" s="1109"/>
      <c r="S56" s="1094"/>
      <c r="T56" s="25"/>
    </row>
    <row r="57" spans="2:20" ht="47.25" customHeight="1">
      <c r="B57" s="1103" t="s">
        <v>308</v>
      </c>
      <c r="C57" s="423" t="s">
        <v>727</v>
      </c>
      <c r="D57" s="487" t="s">
        <v>260</v>
      </c>
      <c r="E57" s="1060" t="s">
        <v>718</v>
      </c>
      <c r="F57" s="223">
        <v>1</v>
      </c>
      <c r="G57" s="223">
        <v>1</v>
      </c>
      <c r="H57" s="582">
        <f t="shared" si="2"/>
        <v>100</v>
      </c>
      <c r="I57" s="582"/>
      <c r="J57" s="223">
        <v>1</v>
      </c>
      <c r="K57" s="223">
        <v>1</v>
      </c>
      <c r="L57" s="582">
        <f t="shared" si="3"/>
        <v>100</v>
      </c>
      <c r="M57" s="1107"/>
      <c r="N57" s="1109"/>
      <c r="O57" s="1109"/>
      <c r="P57" s="1116"/>
      <c r="Q57" s="1123"/>
      <c r="R57" s="1109"/>
      <c r="S57" s="1094"/>
      <c r="T57" s="25"/>
    </row>
    <row r="58" spans="2:20" ht="56.25" customHeight="1">
      <c r="B58" s="1104"/>
      <c r="C58" s="423" t="s">
        <v>728</v>
      </c>
      <c r="D58" s="487" t="s">
        <v>260</v>
      </c>
      <c r="E58" s="1060"/>
      <c r="F58" s="223">
        <v>1</v>
      </c>
      <c r="G58" s="223">
        <v>1</v>
      </c>
      <c r="H58" s="582">
        <f t="shared" si="2"/>
        <v>100</v>
      </c>
      <c r="I58" s="582"/>
      <c r="J58" s="223">
        <v>1</v>
      </c>
      <c r="K58" s="223">
        <v>1</v>
      </c>
      <c r="L58" s="582">
        <f t="shared" si="3"/>
        <v>100</v>
      </c>
      <c r="M58" s="1107"/>
      <c r="N58" s="1109"/>
      <c r="O58" s="1109"/>
      <c r="P58" s="1116"/>
      <c r="Q58" s="1123"/>
      <c r="R58" s="1109"/>
      <c r="S58" s="1094"/>
      <c r="T58" s="25"/>
    </row>
    <row r="59" spans="2:20" ht="44.25" customHeight="1">
      <c r="B59" s="1104"/>
      <c r="C59" s="423" t="s">
        <v>729</v>
      </c>
      <c r="D59" s="425" t="s">
        <v>262</v>
      </c>
      <c r="E59" s="487" t="s">
        <v>704</v>
      </c>
      <c r="F59" s="223">
        <v>1</v>
      </c>
      <c r="G59" s="223">
        <v>1</v>
      </c>
      <c r="H59" s="582">
        <f t="shared" si="2"/>
        <v>100</v>
      </c>
      <c r="I59" s="582"/>
      <c r="J59" s="223">
        <v>1</v>
      </c>
      <c r="K59" s="223">
        <v>1</v>
      </c>
      <c r="L59" s="582">
        <f t="shared" si="3"/>
        <v>100</v>
      </c>
      <c r="M59" s="1107"/>
      <c r="N59" s="1109"/>
      <c r="O59" s="1109"/>
      <c r="P59" s="1116"/>
      <c r="Q59" s="1123"/>
      <c r="R59" s="1109"/>
      <c r="S59" s="1094"/>
      <c r="T59" s="25"/>
    </row>
    <row r="60" spans="2:20" ht="41.25" customHeight="1">
      <c r="B60" s="1104"/>
      <c r="C60" s="284" t="s">
        <v>517</v>
      </c>
      <c r="D60" s="281" t="s">
        <v>262</v>
      </c>
      <c r="E60" s="888" t="s">
        <v>101</v>
      </c>
      <c r="F60" s="270">
        <v>1</v>
      </c>
      <c r="G60" s="271">
        <v>1</v>
      </c>
      <c r="H60" s="206">
        <v>100</v>
      </c>
      <c r="I60" s="206"/>
      <c r="J60" s="271">
        <v>1</v>
      </c>
      <c r="K60" s="271">
        <v>1</v>
      </c>
      <c r="L60" s="204">
        <v>100</v>
      </c>
      <c r="M60" s="742"/>
      <c r="N60" s="743"/>
      <c r="O60" s="743"/>
      <c r="P60" s="742"/>
      <c r="Q60" s="744"/>
      <c r="R60" s="743"/>
      <c r="S60" s="745"/>
      <c r="T60" s="25"/>
    </row>
    <row r="61" spans="2:20" ht="42.75" customHeight="1">
      <c r="B61" s="1104"/>
      <c r="C61" s="284" t="s">
        <v>518</v>
      </c>
      <c r="D61" s="281" t="s">
        <v>262</v>
      </c>
      <c r="E61" s="888"/>
      <c r="F61" s="270" t="s">
        <v>56</v>
      </c>
      <c r="G61" s="271" t="s">
        <v>623</v>
      </c>
      <c r="H61" s="206" t="s">
        <v>623</v>
      </c>
      <c r="I61" s="206"/>
      <c r="J61" s="271">
        <v>1</v>
      </c>
      <c r="K61" s="271">
        <v>1</v>
      </c>
      <c r="L61" s="204">
        <v>100</v>
      </c>
      <c r="M61" s="742"/>
      <c r="N61" s="743"/>
      <c r="O61" s="743"/>
      <c r="P61" s="742"/>
      <c r="Q61" s="744"/>
      <c r="R61" s="743"/>
      <c r="S61" s="745"/>
      <c r="T61" s="42"/>
    </row>
    <row r="62" spans="2:20" ht="29.25" customHeight="1">
      <c r="B62" s="1104"/>
      <c r="C62" s="284" t="s">
        <v>519</v>
      </c>
      <c r="D62" s="281" t="s">
        <v>480</v>
      </c>
      <c r="E62" s="888"/>
      <c r="F62" s="270" t="s">
        <v>56</v>
      </c>
      <c r="G62" s="271" t="s">
        <v>623</v>
      </c>
      <c r="H62" s="578" t="s">
        <v>623</v>
      </c>
      <c r="I62" s="206"/>
      <c r="J62" s="271">
        <v>1</v>
      </c>
      <c r="K62" s="271" t="s">
        <v>622</v>
      </c>
      <c r="L62" s="204">
        <v>30</v>
      </c>
      <c r="M62" s="742"/>
      <c r="N62" s="743"/>
      <c r="O62" s="743"/>
      <c r="P62" s="742"/>
      <c r="Q62" s="744"/>
      <c r="R62" s="743"/>
      <c r="S62" s="745"/>
      <c r="T62" s="25"/>
    </row>
    <row r="63" spans="2:20" ht="24.75" customHeight="1">
      <c r="B63" s="1104"/>
      <c r="C63" s="284" t="s">
        <v>520</v>
      </c>
      <c r="D63" s="281" t="s">
        <v>262</v>
      </c>
      <c r="E63" s="888"/>
      <c r="F63" s="270" t="s">
        <v>56</v>
      </c>
      <c r="G63" s="271" t="s">
        <v>623</v>
      </c>
      <c r="H63" s="578" t="s">
        <v>623</v>
      </c>
      <c r="I63" s="206"/>
      <c r="J63" s="271">
        <v>1</v>
      </c>
      <c r="K63" s="271">
        <v>0.2</v>
      </c>
      <c r="L63" s="204">
        <v>20</v>
      </c>
      <c r="M63" s="742"/>
      <c r="N63" s="743"/>
      <c r="O63" s="743"/>
      <c r="P63" s="742"/>
      <c r="Q63" s="744"/>
      <c r="R63" s="743"/>
      <c r="S63" s="745"/>
      <c r="T63" s="25"/>
    </row>
    <row r="64" spans="2:20" ht="23.25" customHeight="1">
      <c r="B64" s="1104"/>
      <c r="C64" s="264" t="s">
        <v>521</v>
      </c>
      <c r="D64" s="257" t="s">
        <v>302</v>
      </c>
      <c r="E64" s="888"/>
      <c r="F64" s="270" t="s">
        <v>56</v>
      </c>
      <c r="G64" s="271" t="s">
        <v>623</v>
      </c>
      <c r="H64" s="578" t="s">
        <v>623</v>
      </c>
      <c r="I64" s="206"/>
      <c r="J64" s="271">
        <v>1</v>
      </c>
      <c r="K64" s="271">
        <v>1</v>
      </c>
      <c r="L64" s="204">
        <v>100</v>
      </c>
      <c r="M64" s="742"/>
      <c r="N64" s="743"/>
      <c r="O64" s="743"/>
      <c r="P64" s="742"/>
      <c r="Q64" s="744"/>
      <c r="R64" s="743"/>
      <c r="S64" s="745"/>
      <c r="T64" s="25"/>
    </row>
    <row r="65" spans="2:22" ht="24.75" customHeight="1">
      <c r="B65" s="1104"/>
      <c r="C65" s="265" t="s">
        <v>99</v>
      </c>
      <c r="D65" s="205" t="s">
        <v>100</v>
      </c>
      <c r="E65" s="888"/>
      <c r="F65" s="270">
        <v>15</v>
      </c>
      <c r="G65" s="271">
        <v>15</v>
      </c>
      <c r="H65" s="206">
        <v>100</v>
      </c>
      <c r="I65" s="206"/>
      <c r="J65" s="270">
        <v>11</v>
      </c>
      <c r="K65" s="271">
        <v>30</v>
      </c>
      <c r="L65" s="204">
        <v>100</v>
      </c>
      <c r="M65" s="742"/>
      <c r="N65" s="743"/>
      <c r="O65" s="743"/>
      <c r="P65" s="742"/>
      <c r="Q65" s="744"/>
      <c r="R65" s="743"/>
      <c r="S65" s="745"/>
      <c r="U65">
        <v>1150000000</v>
      </c>
      <c r="V65">
        <v>938290438</v>
      </c>
    </row>
    <row r="66" spans="2:22" ht="27" customHeight="1">
      <c r="B66" s="1104"/>
      <c r="C66" s="265" t="s">
        <v>707</v>
      </c>
      <c r="D66" s="205" t="s">
        <v>102</v>
      </c>
      <c r="E66" s="888"/>
      <c r="F66" s="270">
        <v>0</v>
      </c>
      <c r="G66" s="271">
        <v>0</v>
      </c>
      <c r="H66" s="206">
        <v>0</v>
      </c>
      <c r="I66" s="206"/>
      <c r="J66" s="270">
        <v>4</v>
      </c>
      <c r="K66" s="271">
        <v>4</v>
      </c>
      <c r="L66" s="204">
        <f aca="true" t="shared" si="4" ref="L66:L85">(+K66/J66)*100</f>
        <v>100</v>
      </c>
      <c r="M66" s="742"/>
      <c r="N66" s="743"/>
      <c r="O66" s="743"/>
      <c r="P66" s="742"/>
      <c r="Q66" s="744"/>
      <c r="R66" s="743"/>
      <c r="S66" s="745"/>
      <c r="T66" s="45"/>
      <c r="U66">
        <v>1150000000</v>
      </c>
      <c r="V66">
        <v>9550351888</v>
      </c>
    </row>
    <row r="67" spans="2:20" ht="20.25" customHeight="1">
      <c r="B67" s="1104"/>
      <c r="C67" s="265" t="s">
        <v>103</v>
      </c>
      <c r="D67" s="205" t="s">
        <v>370</v>
      </c>
      <c r="E67" s="1111" t="s">
        <v>104</v>
      </c>
      <c r="F67" s="270" t="s">
        <v>56</v>
      </c>
      <c r="G67" s="271"/>
      <c r="H67" s="206"/>
      <c r="I67" s="206"/>
      <c r="J67" s="270">
        <v>108</v>
      </c>
      <c r="K67" s="271">
        <v>108</v>
      </c>
      <c r="L67" s="204">
        <f t="shared" si="4"/>
        <v>100</v>
      </c>
      <c r="M67" s="742"/>
      <c r="N67" s="743"/>
      <c r="O67" s="743"/>
      <c r="P67" s="742"/>
      <c r="Q67" s="744"/>
      <c r="R67" s="743"/>
      <c r="S67" s="745"/>
      <c r="T67" s="25"/>
    </row>
    <row r="68" spans="2:20" ht="25.5" customHeight="1">
      <c r="B68" s="1104"/>
      <c r="C68" s="265" t="s">
        <v>105</v>
      </c>
      <c r="D68" s="205" t="s">
        <v>106</v>
      </c>
      <c r="E68" s="1111"/>
      <c r="F68" s="270">
        <v>15</v>
      </c>
      <c r="G68" s="271">
        <v>15</v>
      </c>
      <c r="H68" s="206">
        <v>100</v>
      </c>
      <c r="I68" s="206"/>
      <c r="J68" s="270">
        <v>100</v>
      </c>
      <c r="K68" s="271">
        <v>100</v>
      </c>
      <c r="L68" s="204">
        <f t="shared" si="4"/>
        <v>100</v>
      </c>
      <c r="M68" s="742"/>
      <c r="N68" s="743"/>
      <c r="O68" s="743"/>
      <c r="P68" s="742"/>
      <c r="Q68" s="744"/>
      <c r="R68" s="743"/>
      <c r="S68" s="745"/>
      <c r="T68" s="25"/>
    </row>
    <row r="69" spans="2:20" ht="27.75" customHeight="1">
      <c r="B69" s="1104"/>
      <c r="C69" s="265" t="s">
        <v>107</v>
      </c>
      <c r="D69" s="205" t="s">
        <v>394</v>
      </c>
      <c r="E69" s="1111"/>
      <c r="F69" s="270" t="s">
        <v>56</v>
      </c>
      <c r="G69" s="271"/>
      <c r="H69" s="206" t="s">
        <v>56</v>
      </c>
      <c r="I69" s="206"/>
      <c r="J69" s="270">
        <v>1</v>
      </c>
      <c r="K69" s="271">
        <v>1</v>
      </c>
      <c r="L69" s="204">
        <f t="shared" si="4"/>
        <v>100</v>
      </c>
      <c r="M69" s="742"/>
      <c r="N69" s="743"/>
      <c r="O69" s="743"/>
      <c r="P69" s="742"/>
      <c r="Q69" s="744"/>
      <c r="R69" s="743"/>
      <c r="S69" s="745"/>
      <c r="T69" s="25"/>
    </row>
    <row r="70" spans="2:20" ht="22.5" customHeight="1">
      <c r="B70" s="1104"/>
      <c r="C70" s="265" t="s">
        <v>108</v>
      </c>
      <c r="D70" s="205" t="s">
        <v>385</v>
      </c>
      <c r="E70" s="1111"/>
      <c r="F70" s="282" t="s">
        <v>56</v>
      </c>
      <c r="G70" s="271" t="s">
        <v>56</v>
      </c>
      <c r="H70" s="206" t="s">
        <v>56</v>
      </c>
      <c r="I70" s="206"/>
      <c r="J70" s="270">
        <v>1</v>
      </c>
      <c r="K70" s="271">
        <v>1</v>
      </c>
      <c r="L70" s="204">
        <f t="shared" si="4"/>
        <v>100</v>
      </c>
      <c r="M70" s="742"/>
      <c r="N70" s="743"/>
      <c r="O70" s="743"/>
      <c r="P70" s="742"/>
      <c r="Q70" s="744"/>
      <c r="R70" s="743"/>
      <c r="S70" s="745"/>
      <c r="T70" s="25"/>
    </row>
    <row r="71" spans="2:20" ht="31.5" customHeight="1">
      <c r="B71" s="1104"/>
      <c r="C71" s="265" t="s">
        <v>109</v>
      </c>
      <c r="D71" s="205" t="s">
        <v>249</v>
      </c>
      <c r="E71" s="1111"/>
      <c r="F71" s="270" t="s">
        <v>56</v>
      </c>
      <c r="G71" s="271" t="s">
        <v>56</v>
      </c>
      <c r="H71" s="206" t="s">
        <v>56</v>
      </c>
      <c r="I71" s="206"/>
      <c r="J71" s="270">
        <v>268</v>
      </c>
      <c r="K71" s="271">
        <v>253</v>
      </c>
      <c r="L71" s="204">
        <f t="shared" si="4"/>
        <v>94.40298507462687</v>
      </c>
      <c r="M71" s="742"/>
      <c r="N71" s="743"/>
      <c r="O71" s="743"/>
      <c r="P71" s="742"/>
      <c r="Q71" s="744"/>
      <c r="R71" s="743"/>
      <c r="S71" s="745"/>
      <c r="T71" s="42"/>
    </row>
    <row r="72" spans="2:20" ht="22.5" customHeight="1">
      <c r="B72" s="1104"/>
      <c r="C72" s="265" t="s">
        <v>110</v>
      </c>
      <c r="D72" s="205" t="s">
        <v>371</v>
      </c>
      <c r="E72" s="1111"/>
      <c r="F72" s="270">
        <v>50</v>
      </c>
      <c r="G72" s="206">
        <v>50</v>
      </c>
      <c r="H72" s="206">
        <v>100</v>
      </c>
      <c r="I72" s="206"/>
      <c r="J72" s="270">
        <v>50</v>
      </c>
      <c r="K72" s="271">
        <v>50</v>
      </c>
      <c r="L72" s="204">
        <f t="shared" si="4"/>
        <v>100</v>
      </c>
      <c r="M72" s="742"/>
      <c r="N72" s="743"/>
      <c r="O72" s="743"/>
      <c r="P72" s="742"/>
      <c r="Q72" s="744"/>
      <c r="R72" s="743"/>
      <c r="S72" s="745"/>
      <c r="T72" s="46"/>
    </row>
    <row r="73" spans="2:20" ht="29.25" customHeight="1">
      <c r="B73" s="1104"/>
      <c r="C73" s="265" t="s">
        <v>111</v>
      </c>
      <c r="D73" s="888" t="s">
        <v>112</v>
      </c>
      <c r="E73" s="1111"/>
      <c r="F73" s="206" t="s">
        <v>56</v>
      </c>
      <c r="G73" s="206" t="s">
        <v>56</v>
      </c>
      <c r="H73" s="206" t="s">
        <v>56</v>
      </c>
      <c r="I73" s="206"/>
      <c r="J73" s="271">
        <v>18</v>
      </c>
      <c r="K73" s="271">
        <v>18</v>
      </c>
      <c r="L73" s="204">
        <f t="shared" si="4"/>
        <v>100</v>
      </c>
      <c r="M73" s="742"/>
      <c r="N73" s="743"/>
      <c r="O73" s="743"/>
      <c r="P73" s="742"/>
      <c r="Q73" s="744"/>
      <c r="R73" s="743"/>
      <c r="S73" s="745"/>
      <c r="T73" s="25"/>
    </row>
    <row r="74" spans="2:20" ht="18" customHeight="1">
      <c r="B74" s="1104"/>
      <c r="C74" s="265" t="s">
        <v>113</v>
      </c>
      <c r="D74" s="888"/>
      <c r="E74" s="1111" t="s">
        <v>95</v>
      </c>
      <c r="F74" s="206" t="s">
        <v>56</v>
      </c>
      <c r="G74" s="206" t="s">
        <v>56</v>
      </c>
      <c r="H74" s="206" t="s">
        <v>56</v>
      </c>
      <c r="I74" s="206"/>
      <c r="J74" s="271">
        <v>8</v>
      </c>
      <c r="K74" s="271">
        <v>8</v>
      </c>
      <c r="L74" s="204">
        <f t="shared" si="4"/>
        <v>100</v>
      </c>
      <c r="M74" s="742"/>
      <c r="N74" s="743"/>
      <c r="O74" s="743"/>
      <c r="P74" s="742"/>
      <c r="Q74" s="744"/>
      <c r="R74" s="743"/>
      <c r="S74" s="745"/>
      <c r="T74" s="25"/>
    </row>
    <row r="75" spans="2:20" ht="37.5" customHeight="1">
      <c r="B75" s="1104"/>
      <c r="C75" s="265" t="s">
        <v>114</v>
      </c>
      <c r="D75" s="205" t="s">
        <v>395</v>
      </c>
      <c r="E75" s="1111"/>
      <c r="F75" s="206" t="s">
        <v>56</v>
      </c>
      <c r="G75" s="206" t="s">
        <v>56</v>
      </c>
      <c r="H75" s="206" t="s">
        <v>56</v>
      </c>
      <c r="I75" s="206"/>
      <c r="J75" s="271">
        <v>20</v>
      </c>
      <c r="K75" s="271">
        <v>20</v>
      </c>
      <c r="L75" s="204">
        <f t="shared" si="4"/>
        <v>100</v>
      </c>
      <c r="M75" s="742"/>
      <c r="N75" s="743"/>
      <c r="O75" s="743"/>
      <c r="P75" s="742"/>
      <c r="Q75" s="744"/>
      <c r="R75" s="743"/>
      <c r="S75" s="745"/>
      <c r="T75" s="25"/>
    </row>
    <row r="76" spans="2:20" ht="24" customHeight="1">
      <c r="B76" s="1104"/>
      <c r="C76" s="265" t="s">
        <v>115</v>
      </c>
      <c r="D76" s="205" t="s">
        <v>393</v>
      </c>
      <c r="E76" s="1111"/>
      <c r="F76" s="206">
        <v>8</v>
      </c>
      <c r="G76" s="206">
        <v>8</v>
      </c>
      <c r="H76" s="206">
        <f>(+G76/F76)*100</f>
        <v>100</v>
      </c>
      <c r="I76" s="206"/>
      <c r="J76" s="271">
        <v>20</v>
      </c>
      <c r="K76" s="271">
        <v>20</v>
      </c>
      <c r="L76" s="204">
        <f t="shared" si="4"/>
        <v>100</v>
      </c>
      <c r="M76" s="742"/>
      <c r="N76" s="743"/>
      <c r="O76" s="743"/>
      <c r="P76" s="742"/>
      <c r="Q76" s="744"/>
      <c r="R76" s="743"/>
      <c r="S76" s="745"/>
      <c r="T76" s="25"/>
    </row>
    <row r="77" spans="2:20" ht="43.5" customHeight="1">
      <c r="B77" s="1104"/>
      <c r="C77" s="265" t="s">
        <v>132</v>
      </c>
      <c r="D77" s="205" t="s">
        <v>396</v>
      </c>
      <c r="E77" s="1111"/>
      <c r="F77" s="206" t="s">
        <v>56</v>
      </c>
      <c r="G77" s="206" t="s">
        <v>56</v>
      </c>
      <c r="H77" s="206" t="s">
        <v>56</v>
      </c>
      <c r="I77" s="206"/>
      <c r="J77" s="271">
        <v>50</v>
      </c>
      <c r="K77" s="271">
        <v>50</v>
      </c>
      <c r="L77" s="204">
        <f t="shared" si="4"/>
        <v>100</v>
      </c>
      <c r="M77" s="742"/>
      <c r="N77" s="743"/>
      <c r="O77" s="743"/>
      <c r="P77" s="742"/>
      <c r="Q77" s="744"/>
      <c r="R77" s="743"/>
      <c r="S77" s="745"/>
      <c r="T77" s="25"/>
    </row>
    <row r="78" spans="2:20" ht="25.5" customHeight="1">
      <c r="B78" s="1104"/>
      <c r="C78" s="265" t="s">
        <v>116</v>
      </c>
      <c r="D78" s="205" t="s">
        <v>117</v>
      </c>
      <c r="E78" s="1111"/>
      <c r="F78" s="270">
        <v>1</v>
      </c>
      <c r="G78" s="271">
        <v>1</v>
      </c>
      <c r="H78" s="206">
        <v>100</v>
      </c>
      <c r="I78" s="206"/>
      <c r="J78" s="271">
        <v>20</v>
      </c>
      <c r="K78" s="271">
        <v>20</v>
      </c>
      <c r="L78" s="204">
        <f t="shared" si="4"/>
        <v>100</v>
      </c>
      <c r="M78" s="742"/>
      <c r="N78" s="743"/>
      <c r="O78" s="743"/>
      <c r="P78" s="742"/>
      <c r="Q78" s="744"/>
      <c r="R78" s="743"/>
      <c r="S78" s="745"/>
      <c r="T78" s="25"/>
    </row>
    <row r="79" spans="2:20" ht="48" customHeight="1">
      <c r="B79" s="1104"/>
      <c r="C79" s="265" t="s">
        <v>118</v>
      </c>
      <c r="D79" s="205" t="s">
        <v>397</v>
      </c>
      <c r="E79" s="1111"/>
      <c r="F79" s="270">
        <v>10</v>
      </c>
      <c r="G79" s="271">
        <v>10</v>
      </c>
      <c r="H79" s="206">
        <f>(+G79/F79)*100</f>
        <v>100</v>
      </c>
      <c r="I79" s="206"/>
      <c r="J79" s="271">
        <v>12</v>
      </c>
      <c r="K79" s="271">
        <v>20</v>
      </c>
      <c r="L79" s="204">
        <v>100</v>
      </c>
      <c r="M79" s="742"/>
      <c r="N79" s="743"/>
      <c r="O79" s="743"/>
      <c r="P79" s="742"/>
      <c r="Q79" s="744"/>
      <c r="R79" s="743"/>
      <c r="S79" s="745"/>
      <c r="T79" s="25"/>
    </row>
    <row r="80" spans="2:20" ht="36" customHeight="1">
      <c r="B80" s="1104"/>
      <c r="C80" s="265" t="s">
        <v>119</v>
      </c>
      <c r="D80" s="205" t="s">
        <v>120</v>
      </c>
      <c r="E80" s="283" t="s">
        <v>384</v>
      </c>
      <c r="F80" s="270" t="s">
        <v>56</v>
      </c>
      <c r="G80" s="206" t="s">
        <v>56</v>
      </c>
      <c r="H80" s="206" t="s">
        <v>56</v>
      </c>
      <c r="I80" s="206"/>
      <c r="J80" s="206">
        <v>1</v>
      </c>
      <c r="K80" s="206">
        <v>1</v>
      </c>
      <c r="L80" s="204">
        <f t="shared" si="4"/>
        <v>100</v>
      </c>
      <c r="M80" s="742"/>
      <c r="N80" s="743"/>
      <c r="O80" s="743"/>
      <c r="P80" s="742"/>
      <c r="Q80" s="744"/>
      <c r="R80" s="743"/>
      <c r="S80" s="745"/>
      <c r="T80" s="25"/>
    </row>
    <row r="81" spans="2:20" ht="39" customHeight="1">
      <c r="B81" s="1104"/>
      <c r="C81" s="265" t="s">
        <v>121</v>
      </c>
      <c r="D81" s="205" t="s">
        <v>386</v>
      </c>
      <c r="E81" s="1111" t="s">
        <v>122</v>
      </c>
      <c r="F81" s="270" t="s">
        <v>56</v>
      </c>
      <c r="G81" s="270" t="s">
        <v>56</v>
      </c>
      <c r="H81" s="270" t="s">
        <v>56</v>
      </c>
      <c r="I81" s="206"/>
      <c r="J81" s="206">
        <v>8</v>
      </c>
      <c r="K81" s="206">
        <v>11</v>
      </c>
      <c r="L81" s="204">
        <v>100</v>
      </c>
      <c r="M81" s="742"/>
      <c r="N81" s="743"/>
      <c r="O81" s="743"/>
      <c r="P81" s="742"/>
      <c r="Q81" s="744"/>
      <c r="R81" s="743"/>
      <c r="S81" s="745"/>
      <c r="T81" s="25"/>
    </row>
    <row r="82" spans="2:20" ht="23.25" customHeight="1">
      <c r="B82" s="1104"/>
      <c r="C82" s="265" t="s">
        <v>123</v>
      </c>
      <c r="D82" s="65" t="s">
        <v>124</v>
      </c>
      <c r="E82" s="1111"/>
      <c r="F82" s="270" t="s">
        <v>56</v>
      </c>
      <c r="G82" s="270" t="s">
        <v>56</v>
      </c>
      <c r="H82" s="270" t="s">
        <v>56</v>
      </c>
      <c r="I82" s="206"/>
      <c r="J82" s="271">
        <v>3</v>
      </c>
      <c r="K82" s="271">
        <v>20</v>
      </c>
      <c r="L82" s="204">
        <v>100</v>
      </c>
      <c r="M82" s="742"/>
      <c r="N82" s="743"/>
      <c r="O82" s="743"/>
      <c r="P82" s="742"/>
      <c r="Q82" s="744"/>
      <c r="R82" s="743"/>
      <c r="S82" s="745"/>
      <c r="T82" s="25"/>
    </row>
    <row r="83" spans="2:20" ht="35.25" customHeight="1">
      <c r="B83" s="1104"/>
      <c r="C83" s="265" t="s">
        <v>125</v>
      </c>
      <c r="D83" s="205" t="s">
        <v>398</v>
      </c>
      <c r="E83" s="1111" t="s">
        <v>126</v>
      </c>
      <c r="F83" s="270" t="s">
        <v>56</v>
      </c>
      <c r="G83" s="206" t="s">
        <v>56</v>
      </c>
      <c r="H83" s="206" t="s">
        <v>56</v>
      </c>
      <c r="I83" s="206"/>
      <c r="J83" s="271">
        <v>3</v>
      </c>
      <c r="K83" s="206">
        <v>3</v>
      </c>
      <c r="L83" s="204">
        <f t="shared" si="4"/>
        <v>100</v>
      </c>
      <c r="M83" s="742"/>
      <c r="N83" s="743"/>
      <c r="O83" s="743"/>
      <c r="P83" s="742"/>
      <c r="Q83" s="744"/>
      <c r="R83" s="743"/>
      <c r="S83" s="745"/>
      <c r="T83" s="25"/>
    </row>
    <row r="84" spans="2:20" ht="49.5" customHeight="1" thickBot="1">
      <c r="B84" s="1104"/>
      <c r="C84" s="265" t="s">
        <v>127</v>
      </c>
      <c r="D84" s="205" t="s">
        <v>128</v>
      </c>
      <c r="E84" s="1111"/>
      <c r="F84" s="208">
        <v>1</v>
      </c>
      <c r="G84" s="271">
        <v>1</v>
      </c>
      <c r="H84" s="206">
        <f>(+G84/F84)*100</f>
        <v>100</v>
      </c>
      <c r="I84" s="206"/>
      <c r="J84" s="272">
        <v>18</v>
      </c>
      <c r="K84" s="271">
        <v>18</v>
      </c>
      <c r="L84" s="204">
        <f t="shared" si="4"/>
        <v>100</v>
      </c>
      <c r="M84" s="742"/>
      <c r="N84" s="743"/>
      <c r="O84" s="743"/>
      <c r="P84" s="742"/>
      <c r="Q84" s="744"/>
      <c r="R84" s="743"/>
      <c r="S84" s="745"/>
      <c r="T84" s="26"/>
    </row>
    <row r="85" spans="2:20" ht="24.75" customHeight="1" thickBot="1">
      <c r="B85" s="1104"/>
      <c r="C85" s="285" t="s">
        <v>401</v>
      </c>
      <c r="D85" s="286" t="s">
        <v>399</v>
      </c>
      <c r="E85" s="1118"/>
      <c r="F85" s="287" t="s">
        <v>56</v>
      </c>
      <c r="G85" s="102" t="s">
        <v>56</v>
      </c>
      <c r="H85" s="102" t="s">
        <v>56</v>
      </c>
      <c r="I85" s="102"/>
      <c r="J85" s="273">
        <v>1</v>
      </c>
      <c r="K85" s="274">
        <v>1</v>
      </c>
      <c r="L85" s="181">
        <f t="shared" si="4"/>
        <v>100</v>
      </c>
      <c r="M85" s="746"/>
      <c r="N85" s="747"/>
      <c r="O85" s="747"/>
      <c r="P85" s="746"/>
      <c r="Q85" s="748"/>
      <c r="R85" s="747"/>
      <c r="S85" s="749"/>
      <c r="T85" s="29"/>
    </row>
    <row r="86" spans="2:20" ht="31.5" customHeight="1" thickBot="1">
      <c r="B86" s="1105"/>
      <c r="C86" s="707" t="s">
        <v>659</v>
      </c>
      <c r="D86" s="707"/>
      <c r="E86" s="708"/>
      <c r="F86" s="709">
        <v>2700</v>
      </c>
      <c r="G86" s="710"/>
      <c r="H86" s="710">
        <f>SUM(H41:H85)</f>
        <v>2350</v>
      </c>
      <c r="I86" s="691">
        <f>(+H86/F86)*100</f>
        <v>87.03703703703704</v>
      </c>
      <c r="J86" s="711">
        <v>4200</v>
      </c>
      <c r="K86" s="710"/>
      <c r="L86" s="712">
        <f>SUM(L41:L85)</f>
        <v>3994.402985074627</v>
      </c>
      <c r="M86" s="713"/>
      <c r="N86" s="713"/>
      <c r="O86" s="713"/>
      <c r="P86" s="713"/>
      <c r="Q86" s="713"/>
      <c r="R86" s="713"/>
      <c r="S86" s="713"/>
      <c r="T86" s="172">
        <f>(+L86/J86)*100</f>
        <v>95.10483297796732</v>
      </c>
    </row>
  </sheetData>
  <sheetProtection/>
  <mergeCells count="46">
    <mergeCell ref="T3:T4"/>
    <mergeCell ref="E34:E39"/>
    <mergeCell ref="B5:T5"/>
    <mergeCell ref="Q44:Q59"/>
    <mergeCell ref="R44:R59"/>
    <mergeCell ref="B3:B4"/>
    <mergeCell ref="D3:M3"/>
    <mergeCell ref="N3:S3"/>
    <mergeCell ref="E27:E32"/>
    <mergeCell ref="C22:C23"/>
    <mergeCell ref="E83:E85"/>
    <mergeCell ref="D22:D23"/>
    <mergeCell ref="N41:S41"/>
    <mergeCell ref="D41:M41"/>
    <mergeCell ref="E81:E82"/>
    <mergeCell ref="E24:E26"/>
    <mergeCell ref="O44:O59"/>
    <mergeCell ref="P44:P59"/>
    <mergeCell ref="E54:E56"/>
    <mergeCell ref="E57:E58"/>
    <mergeCell ref="B2:T2"/>
    <mergeCell ref="B1:T1"/>
    <mergeCell ref="E67:E73"/>
    <mergeCell ref="B43:T43"/>
    <mergeCell ref="B41:B42"/>
    <mergeCell ref="T41:T42"/>
    <mergeCell ref="D73:D74"/>
    <mergeCell ref="E74:E79"/>
    <mergeCell ref="B22:B40"/>
    <mergeCell ref="B6:B21"/>
    <mergeCell ref="B44:B56"/>
    <mergeCell ref="B57:B86"/>
    <mergeCell ref="M44:M59"/>
    <mergeCell ref="N44:N59"/>
    <mergeCell ref="E11:E21"/>
    <mergeCell ref="E60:E66"/>
    <mergeCell ref="E45:E46"/>
    <mergeCell ref="E49:E53"/>
    <mergeCell ref="S44:S59"/>
    <mergeCell ref="M6:M21"/>
    <mergeCell ref="N6:N21"/>
    <mergeCell ref="O6:O21"/>
    <mergeCell ref="P6:P21"/>
    <mergeCell ref="Q6:Q21"/>
    <mergeCell ref="R6:R21"/>
    <mergeCell ref="S6:S21"/>
  </mergeCells>
  <printOptions horizontalCentered="1"/>
  <pageMargins left="0.1968503937007874" right="0.1968503937007874" top="0.1968503937007874" bottom="0.1968503937007874" header="0.1968503937007874" footer="0"/>
  <pageSetup horizontalDpi="300" verticalDpi="300" orientation="landscape" scale="47" r:id="rId1"/>
  <rowBreaks count="3" manualBreakCount="3">
    <brk id="21" max="19" man="1"/>
    <brk id="40" max="255" man="1"/>
    <brk id="5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17"/>
  <sheetViews>
    <sheetView view="pageBreakPreview" zoomScale="60" zoomScaleNormal="60" zoomScalePageLayoutView="0" workbookViewId="0" topLeftCell="A50">
      <selection activeCell="U53" sqref="U53:V57"/>
    </sheetView>
  </sheetViews>
  <sheetFormatPr defaultColWidth="11.421875" defaultRowHeight="12.75"/>
  <cols>
    <col min="1" max="1" width="5.140625" style="0" customWidth="1"/>
    <col min="2" max="2" width="27.00390625" style="0" customWidth="1"/>
    <col min="3" max="3" width="44.28125" style="0" customWidth="1"/>
    <col min="4" max="4" width="31.57421875" style="0" customWidth="1"/>
    <col min="5" max="5" width="40.421875" style="0" customWidth="1"/>
    <col min="6" max="6" width="6.7109375" style="0" customWidth="1"/>
    <col min="7" max="7" width="6.28125" style="0" customWidth="1"/>
    <col min="8" max="8" width="6.57421875" style="0" customWidth="1"/>
    <col min="9" max="9" width="6.7109375" style="0" customWidth="1"/>
    <col min="10" max="10" width="7.421875" style="0" customWidth="1"/>
    <col min="11" max="11" width="8.421875" style="0" customWidth="1"/>
    <col min="12" max="12" width="7.140625" style="0" customWidth="1"/>
    <col min="13" max="13" width="6.7109375" style="0" customWidth="1"/>
    <col min="14" max="14" width="5.57421875" style="0" customWidth="1"/>
    <col min="15" max="15" width="6.57421875" style="0" customWidth="1"/>
    <col min="16" max="16" width="5.7109375" style="0" customWidth="1"/>
    <col min="17" max="17" width="4.7109375" style="0" customWidth="1"/>
    <col min="18" max="18" width="4.140625" style="0" customWidth="1"/>
    <col min="19" max="19" width="5.28125" style="0" customWidth="1"/>
    <col min="20" max="20" width="6.57421875" style="0" customWidth="1"/>
    <col min="21" max="21" width="21.421875" style="0" customWidth="1"/>
    <col min="22" max="22" width="25.421875" style="0" customWidth="1"/>
  </cols>
  <sheetData>
    <row r="1" spans="1:20" ht="18.75" thickBot="1">
      <c r="A1" s="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</row>
    <row r="2" spans="1:20" ht="42.75" customHeight="1" thickBot="1">
      <c r="A2" s="5"/>
      <c r="B2" s="874" t="s">
        <v>646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6"/>
    </row>
    <row r="3" spans="1:20" ht="19.5" customHeight="1" thickBot="1">
      <c r="A3" s="5"/>
      <c r="B3" s="874" t="s">
        <v>970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6"/>
    </row>
    <row r="4" spans="1:20" s="4" customFormat="1" ht="42.75" customHeight="1" thickBot="1">
      <c r="A4" s="6"/>
      <c r="B4" s="923" t="s">
        <v>655</v>
      </c>
      <c r="C4" s="11"/>
      <c r="D4" s="874" t="s">
        <v>541</v>
      </c>
      <c r="E4" s="875"/>
      <c r="F4" s="875"/>
      <c r="G4" s="875"/>
      <c r="H4" s="875"/>
      <c r="I4" s="875"/>
      <c r="J4" s="875"/>
      <c r="K4" s="875"/>
      <c r="L4" s="875"/>
      <c r="M4" s="876"/>
      <c r="N4" s="874" t="s">
        <v>542</v>
      </c>
      <c r="O4" s="875"/>
      <c r="P4" s="875"/>
      <c r="Q4" s="875"/>
      <c r="R4" s="875"/>
      <c r="S4" s="875"/>
      <c r="T4" s="920" t="s">
        <v>269</v>
      </c>
    </row>
    <row r="5" spans="1:20" ht="363" customHeight="1" thickBot="1">
      <c r="A5" s="5"/>
      <c r="B5" s="924"/>
      <c r="C5" s="12" t="s">
        <v>439</v>
      </c>
      <c r="D5" s="12" t="s">
        <v>307</v>
      </c>
      <c r="E5" s="12" t="s">
        <v>294</v>
      </c>
      <c r="F5" s="14" t="s">
        <v>271</v>
      </c>
      <c r="G5" s="14" t="s">
        <v>272</v>
      </c>
      <c r="H5" s="15" t="s">
        <v>284</v>
      </c>
      <c r="I5" s="14" t="s">
        <v>285</v>
      </c>
      <c r="J5" s="14" t="s">
        <v>650</v>
      </c>
      <c r="K5" s="14" t="s">
        <v>286</v>
      </c>
      <c r="L5" s="16" t="s">
        <v>287</v>
      </c>
      <c r="M5" s="14" t="s">
        <v>288</v>
      </c>
      <c r="N5" s="14" t="s">
        <v>270</v>
      </c>
      <c r="O5" s="15" t="s">
        <v>289</v>
      </c>
      <c r="P5" s="14" t="s">
        <v>290</v>
      </c>
      <c r="Q5" s="14" t="s">
        <v>696</v>
      </c>
      <c r="R5" s="15" t="s">
        <v>291</v>
      </c>
      <c r="S5" s="16" t="s">
        <v>292</v>
      </c>
      <c r="T5" s="921"/>
    </row>
    <row r="6" spans="1:20" ht="27" customHeight="1" thickBot="1">
      <c r="A6" s="5"/>
      <c r="B6" s="1031" t="s">
        <v>425</v>
      </c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3"/>
      <c r="N6" s="1033"/>
      <c r="O6" s="1033"/>
      <c r="P6" s="1033"/>
      <c r="Q6" s="1033"/>
      <c r="R6" s="1033"/>
      <c r="S6" s="1033"/>
      <c r="T6" s="1034"/>
    </row>
    <row r="7" spans="1:20" ht="23.25" customHeight="1" thickBot="1">
      <c r="A7" s="7"/>
      <c r="B7" s="1103" t="s">
        <v>374</v>
      </c>
      <c r="C7" s="1167" t="s">
        <v>133</v>
      </c>
      <c r="D7" s="624" t="s">
        <v>380</v>
      </c>
      <c r="E7" s="1165" t="s">
        <v>259</v>
      </c>
      <c r="F7" s="335">
        <v>3</v>
      </c>
      <c r="G7" s="715">
        <v>3</v>
      </c>
      <c r="H7" s="433">
        <f>(+G7/F7)*100</f>
        <v>100</v>
      </c>
      <c r="I7" s="1158"/>
      <c r="J7" s="395">
        <v>21</v>
      </c>
      <c r="K7" s="716">
        <v>21</v>
      </c>
      <c r="L7" s="230">
        <f>(+K7/J7)*100</f>
        <v>100</v>
      </c>
      <c r="M7" s="1124">
        <v>15</v>
      </c>
      <c r="N7" s="1126">
        <v>400000000</v>
      </c>
      <c r="O7" s="1184">
        <v>375861815</v>
      </c>
      <c r="P7" s="1186">
        <f>(+O7/N7)*100</f>
        <v>93.96545375000001</v>
      </c>
      <c r="Q7" s="1126">
        <v>3150000000</v>
      </c>
      <c r="R7" s="1184">
        <f>(345356701+499151828+484396698+686555629+280057975+O7)</f>
        <v>2671380646</v>
      </c>
      <c r="S7" s="1186">
        <f>(+R7/Q7)*100</f>
        <v>84.80573479365079</v>
      </c>
      <c r="T7" s="30"/>
    </row>
    <row r="8" spans="1:20" ht="30.75" customHeight="1" thickBot="1">
      <c r="A8" s="7"/>
      <c r="B8" s="1104"/>
      <c r="C8" s="1168"/>
      <c r="D8" s="625" t="s">
        <v>382</v>
      </c>
      <c r="E8" s="1166"/>
      <c r="F8" s="336">
        <v>0</v>
      </c>
      <c r="G8" s="717">
        <v>0</v>
      </c>
      <c r="H8" s="433">
        <v>0</v>
      </c>
      <c r="I8" s="1159"/>
      <c r="J8" s="386">
        <v>16</v>
      </c>
      <c r="K8" s="299">
        <v>16</v>
      </c>
      <c r="L8" s="646">
        <f>(+K8/J8)*100</f>
        <v>100</v>
      </c>
      <c r="M8" s="1125"/>
      <c r="N8" s="1127"/>
      <c r="O8" s="1185"/>
      <c r="P8" s="1187"/>
      <c r="Q8" s="1127"/>
      <c r="R8" s="1185"/>
      <c r="S8" s="1187"/>
      <c r="T8" s="31"/>
    </row>
    <row r="9" spans="1:20" ht="50.25" customHeight="1" thickBot="1">
      <c r="A9" s="7"/>
      <c r="B9" s="1104"/>
      <c r="C9" s="1168"/>
      <c r="D9" s="625" t="s">
        <v>134</v>
      </c>
      <c r="E9" s="1166"/>
      <c r="F9" s="336">
        <v>1</v>
      </c>
      <c r="G9" s="717">
        <v>1</v>
      </c>
      <c r="H9" s="433">
        <f aca="true" t="shared" si="0" ref="H9:H23">(+G9/F9)*100</f>
        <v>100</v>
      </c>
      <c r="I9" s="1159"/>
      <c r="J9" s="386">
        <v>26</v>
      </c>
      <c r="K9" s="299">
        <v>26</v>
      </c>
      <c r="L9" s="646">
        <f>(+K9/J9)*100</f>
        <v>100</v>
      </c>
      <c r="M9" s="1125"/>
      <c r="N9" s="1127"/>
      <c r="O9" s="1185"/>
      <c r="P9" s="1187"/>
      <c r="Q9" s="1127"/>
      <c r="R9" s="1185"/>
      <c r="S9" s="1187"/>
      <c r="T9" s="31"/>
    </row>
    <row r="10" spans="1:20" ht="36" customHeight="1" thickBot="1">
      <c r="A10" s="7"/>
      <c r="B10" s="1104"/>
      <c r="C10" s="1168"/>
      <c r="D10" s="625" t="s">
        <v>381</v>
      </c>
      <c r="E10" s="1166"/>
      <c r="F10" s="336">
        <v>1</v>
      </c>
      <c r="G10" s="717">
        <v>1</v>
      </c>
      <c r="H10" s="433">
        <f t="shared" si="0"/>
        <v>100</v>
      </c>
      <c r="I10" s="1159"/>
      <c r="J10" s="386">
        <v>21</v>
      </c>
      <c r="K10" s="299">
        <v>21</v>
      </c>
      <c r="L10" s="646">
        <f>(+K10/J10)*100</f>
        <v>100</v>
      </c>
      <c r="M10" s="1125"/>
      <c r="N10" s="1127"/>
      <c r="O10" s="1185"/>
      <c r="P10" s="1187"/>
      <c r="Q10" s="1127"/>
      <c r="R10" s="1185"/>
      <c r="S10" s="1187"/>
      <c r="T10" s="31"/>
    </row>
    <row r="11" spans="1:20" ht="35.25" customHeight="1" thickBot="1">
      <c r="A11" s="7"/>
      <c r="B11" s="1104"/>
      <c r="C11" s="1168"/>
      <c r="D11" s="625" t="s">
        <v>383</v>
      </c>
      <c r="E11" s="1166"/>
      <c r="F11" s="336">
        <v>5</v>
      </c>
      <c r="G11" s="717">
        <v>5</v>
      </c>
      <c r="H11" s="433">
        <f t="shared" si="0"/>
        <v>100</v>
      </c>
      <c r="I11" s="1159"/>
      <c r="J11" s="386">
        <f>SUM(E11:I11)</f>
        <v>110</v>
      </c>
      <c r="K11" s="299">
        <v>114</v>
      </c>
      <c r="L11" s="646">
        <v>100</v>
      </c>
      <c r="M11" s="1125"/>
      <c r="N11" s="1127"/>
      <c r="O11" s="1185"/>
      <c r="P11" s="1187"/>
      <c r="Q11" s="1127"/>
      <c r="R11" s="1185"/>
      <c r="S11" s="1187"/>
      <c r="T11" s="32"/>
    </row>
    <row r="12" spans="1:20" ht="33.75" customHeight="1" thickBot="1">
      <c r="A12" s="7"/>
      <c r="B12" s="1104"/>
      <c r="C12" s="1168"/>
      <c r="D12" s="625" t="s">
        <v>354</v>
      </c>
      <c r="E12" s="1166"/>
      <c r="F12" s="336">
        <v>1</v>
      </c>
      <c r="G12" s="717">
        <v>1</v>
      </c>
      <c r="H12" s="433">
        <f t="shared" si="0"/>
        <v>100</v>
      </c>
      <c r="I12" s="1159"/>
      <c r="J12" s="386">
        <f>SUM(E12:I12)</f>
        <v>102</v>
      </c>
      <c r="K12" s="299">
        <v>129</v>
      </c>
      <c r="L12" s="646">
        <v>100</v>
      </c>
      <c r="M12" s="1125"/>
      <c r="N12" s="1127"/>
      <c r="O12" s="1185"/>
      <c r="P12" s="1187"/>
      <c r="Q12" s="1127"/>
      <c r="R12" s="1185"/>
      <c r="S12" s="1187"/>
      <c r="T12" s="31"/>
    </row>
    <row r="13" spans="1:20" ht="32.25" customHeight="1" thickBot="1">
      <c r="A13" s="7"/>
      <c r="B13" s="1104"/>
      <c r="C13" s="1168"/>
      <c r="D13" s="625" t="s">
        <v>362</v>
      </c>
      <c r="E13" s="1166"/>
      <c r="F13" s="336">
        <v>1</v>
      </c>
      <c r="G13" s="717">
        <v>1</v>
      </c>
      <c r="H13" s="433">
        <f t="shared" si="0"/>
        <v>100</v>
      </c>
      <c r="I13" s="1159"/>
      <c r="J13" s="386">
        <f>SUM(E13:I13)</f>
        <v>102</v>
      </c>
      <c r="K13" s="299">
        <v>114</v>
      </c>
      <c r="L13" s="646">
        <v>100</v>
      </c>
      <c r="M13" s="1125"/>
      <c r="N13" s="1127"/>
      <c r="O13" s="1185"/>
      <c r="P13" s="1187"/>
      <c r="Q13" s="1127"/>
      <c r="R13" s="1185"/>
      <c r="S13" s="1187"/>
      <c r="T13" s="31"/>
    </row>
    <row r="14" spans="1:20" ht="33.75" customHeight="1" thickBot="1">
      <c r="A14" s="7"/>
      <c r="B14" s="1104"/>
      <c r="C14" s="1168"/>
      <c r="D14" s="625" t="s">
        <v>135</v>
      </c>
      <c r="E14" s="1166"/>
      <c r="F14" s="336">
        <v>1</v>
      </c>
      <c r="G14" s="717">
        <v>1</v>
      </c>
      <c r="H14" s="433">
        <f t="shared" si="0"/>
        <v>100</v>
      </c>
      <c r="I14" s="1159"/>
      <c r="J14" s="386">
        <f>SUM(E14:I14)</f>
        <v>102</v>
      </c>
      <c r="K14" s="299">
        <v>2</v>
      </c>
      <c r="L14" s="646">
        <v>100</v>
      </c>
      <c r="M14" s="1125"/>
      <c r="N14" s="1127"/>
      <c r="O14" s="1185"/>
      <c r="P14" s="1187"/>
      <c r="Q14" s="1127"/>
      <c r="R14" s="1185"/>
      <c r="S14" s="1187"/>
      <c r="T14" s="31"/>
    </row>
    <row r="15" spans="1:22" ht="45.75" customHeight="1" thickBot="1">
      <c r="A15" s="7"/>
      <c r="B15" s="1104"/>
      <c r="C15" s="1168"/>
      <c r="D15" s="625" t="s">
        <v>325</v>
      </c>
      <c r="E15" s="1166"/>
      <c r="F15" s="336">
        <v>1</v>
      </c>
      <c r="G15" s="717">
        <v>1</v>
      </c>
      <c r="H15" s="433">
        <f t="shared" si="0"/>
        <v>100</v>
      </c>
      <c r="I15" s="1159"/>
      <c r="J15" s="386">
        <v>4</v>
      </c>
      <c r="K15" s="299">
        <v>5</v>
      </c>
      <c r="L15" s="646">
        <v>100</v>
      </c>
      <c r="M15" s="1125"/>
      <c r="N15" s="1127"/>
      <c r="O15" s="1185"/>
      <c r="P15" s="1187"/>
      <c r="Q15" s="1127"/>
      <c r="R15" s="1185"/>
      <c r="S15" s="1187"/>
      <c r="T15" s="31"/>
      <c r="U15">
        <v>3150000000</v>
      </c>
      <c r="V15">
        <v>2671380646</v>
      </c>
    </row>
    <row r="16" spans="1:20" ht="48" customHeight="1" thickBot="1">
      <c r="A16" s="7"/>
      <c r="B16" s="1104"/>
      <c r="C16" s="1168"/>
      <c r="D16" s="625" t="s">
        <v>326</v>
      </c>
      <c r="E16" s="1166"/>
      <c r="F16" s="394">
        <v>4</v>
      </c>
      <c r="G16" s="717">
        <v>4</v>
      </c>
      <c r="H16" s="433">
        <f t="shared" si="0"/>
        <v>100</v>
      </c>
      <c r="I16" s="1160"/>
      <c r="J16" s="386">
        <v>8</v>
      </c>
      <c r="K16" s="299">
        <v>8</v>
      </c>
      <c r="L16" s="646">
        <f>(+K16/J16)*100</f>
        <v>100</v>
      </c>
      <c r="M16" s="1125"/>
      <c r="N16" s="1127"/>
      <c r="O16" s="1185"/>
      <c r="P16" s="1187"/>
      <c r="Q16" s="1127"/>
      <c r="R16" s="1185"/>
      <c r="S16" s="1187"/>
      <c r="T16" s="31"/>
    </row>
    <row r="17" spans="1:20" ht="33.75" customHeight="1" thickBot="1">
      <c r="A17" s="7"/>
      <c r="B17" s="1104"/>
      <c r="C17" s="1168"/>
      <c r="D17" s="625" t="s">
        <v>363</v>
      </c>
      <c r="E17" s="1166"/>
      <c r="F17" s="336">
        <v>100</v>
      </c>
      <c r="G17" s="717">
        <v>100</v>
      </c>
      <c r="H17" s="433">
        <v>100</v>
      </c>
      <c r="I17" s="1159"/>
      <c r="J17" s="386">
        <v>100</v>
      </c>
      <c r="K17" s="299">
        <v>850</v>
      </c>
      <c r="L17" s="646">
        <v>100</v>
      </c>
      <c r="M17" s="1125"/>
      <c r="N17" s="1127"/>
      <c r="O17" s="1185"/>
      <c r="P17" s="1187"/>
      <c r="Q17" s="1127"/>
      <c r="R17" s="1185"/>
      <c r="S17" s="1187"/>
      <c r="T17" s="31"/>
    </row>
    <row r="18" spans="1:20" ht="30.75" customHeight="1" thickBot="1">
      <c r="A18" s="7"/>
      <c r="B18" s="1104"/>
      <c r="C18" s="1168"/>
      <c r="D18" s="625" t="s">
        <v>364</v>
      </c>
      <c r="E18" s="1166"/>
      <c r="F18" s="336">
        <v>60</v>
      </c>
      <c r="G18" s="717">
        <v>60</v>
      </c>
      <c r="H18" s="433">
        <f t="shared" si="0"/>
        <v>100</v>
      </c>
      <c r="I18" s="1159"/>
      <c r="J18" s="386">
        <f>SUM(E18:I18)</f>
        <v>220</v>
      </c>
      <c r="K18" s="299">
        <v>646</v>
      </c>
      <c r="L18" s="646">
        <v>100</v>
      </c>
      <c r="M18" s="1125"/>
      <c r="N18" s="1127"/>
      <c r="O18" s="1185"/>
      <c r="P18" s="1187"/>
      <c r="Q18" s="1127"/>
      <c r="R18" s="1185"/>
      <c r="S18" s="1187"/>
      <c r="T18" s="31"/>
    </row>
    <row r="19" spans="1:20" ht="18" customHeight="1" thickBot="1">
      <c r="A19" s="7"/>
      <c r="B19" s="1105"/>
      <c r="C19" s="1168"/>
      <c r="D19" s="625" t="s">
        <v>136</v>
      </c>
      <c r="E19" s="1166"/>
      <c r="F19" s="336">
        <v>20</v>
      </c>
      <c r="G19" s="717">
        <v>36</v>
      </c>
      <c r="H19" s="433">
        <v>100</v>
      </c>
      <c r="I19" s="1159"/>
      <c r="J19" s="386">
        <f>SUM(E19:I19)</f>
        <v>156</v>
      </c>
      <c r="K19" s="299">
        <v>646</v>
      </c>
      <c r="L19" s="646">
        <v>100</v>
      </c>
      <c r="M19" s="1125"/>
      <c r="N19" s="1127"/>
      <c r="O19" s="1185"/>
      <c r="P19" s="1187"/>
      <c r="Q19" s="1127"/>
      <c r="R19" s="1185"/>
      <c r="S19" s="1187"/>
      <c r="T19" s="31"/>
    </row>
    <row r="20" spans="1:20" ht="57" customHeight="1" thickBot="1">
      <c r="A20" s="7"/>
      <c r="B20" s="1103" t="s">
        <v>374</v>
      </c>
      <c r="C20" s="628" t="s">
        <v>533</v>
      </c>
      <c r="D20" s="384" t="s">
        <v>262</v>
      </c>
      <c r="E20" s="623" t="s">
        <v>534</v>
      </c>
      <c r="F20" s="718">
        <v>1</v>
      </c>
      <c r="G20" s="717">
        <v>1</v>
      </c>
      <c r="H20" s="433">
        <f t="shared" si="0"/>
        <v>100</v>
      </c>
      <c r="I20" s="719"/>
      <c r="J20" s="720">
        <v>1</v>
      </c>
      <c r="K20" s="299">
        <v>1</v>
      </c>
      <c r="L20" s="433">
        <f>(+K20/J20)*100</f>
        <v>100</v>
      </c>
      <c r="M20" s="1125"/>
      <c r="N20" s="1127"/>
      <c r="O20" s="1185"/>
      <c r="P20" s="1187"/>
      <c r="Q20" s="1127"/>
      <c r="R20" s="1185"/>
      <c r="S20" s="1187"/>
      <c r="T20" s="31"/>
    </row>
    <row r="21" spans="1:20" ht="35.25" customHeight="1" thickBot="1">
      <c r="A21" s="7"/>
      <c r="B21" s="1104"/>
      <c r="C21" s="628" t="s">
        <v>536</v>
      </c>
      <c r="D21" s="384" t="s">
        <v>262</v>
      </c>
      <c r="E21" s="1164" t="s">
        <v>500</v>
      </c>
      <c r="F21" s="718">
        <v>1</v>
      </c>
      <c r="G21" s="717">
        <v>1</v>
      </c>
      <c r="H21" s="433">
        <f t="shared" si="0"/>
        <v>100</v>
      </c>
      <c r="I21" s="719"/>
      <c r="J21" s="720">
        <v>1</v>
      </c>
      <c r="K21" s="299">
        <v>1</v>
      </c>
      <c r="L21" s="433">
        <f>(+K21/J21)*100</f>
        <v>100</v>
      </c>
      <c r="M21" s="1125"/>
      <c r="N21" s="1127"/>
      <c r="O21" s="1185"/>
      <c r="P21" s="1187"/>
      <c r="Q21" s="1127"/>
      <c r="R21" s="1185"/>
      <c r="S21" s="1187"/>
      <c r="T21" s="31"/>
    </row>
    <row r="22" spans="1:20" ht="56.25" customHeight="1" thickBot="1">
      <c r="A22" s="7"/>
      <c r="B22" s="1104"/>
      <c r="C22" s="628" t="s">
        <v>537</v>
      </c>
      <c r="D22" s="384" t="s">
        <v>262</v>
      </c>
      <c r="E22" s="1164"/>
      <c r="F22" s="718">
        <v>1</v>
      </c>
      <c r="G22" s="717">
        <v>1</v>
      </c>
      <c r="H22" s="433">
        <f t="shared" si="0"/>
        <v>100</v>
      </c>
      <c r="I22" s="719"/>
      <c r="J22" s="720">
        <v>1</v>
      </c>
      <c r="K22" s="299">
        <v>1</v>
      </c>
      <c r="L22" s="433">
        <f>(+K22/J22)*100</f>
        <v>100</v>
      </c>
      <c r="M22" s="1125"/>
      <c r="N22" s="1127"/>
      <c r="O22" s="1185"/>
      <c r="P22" s="1187"/>
      <c r="Q22" s="1127"/>
      <c r="R22" s="1185"/>
      <c r="S22" s="1187"/>
      <c r="T22" s="31"/>
    </row>
    <row r="23" spans="1:20" ht="73.5" customHeight="1">
      <c r="A23" s="7"/>
      <c r="B23" s="1104"/>
      <c r="C23" s="628" t="s">
        <v>730</v>
      </c>
      <c r="D23" s="628" t="s">
        <v>265</v>
      </c>
      <c r="E23" s="623" t="s">
        <v>731</v>
      </c>
      <c r="F23" s="396">
        <v>100</v>
      </c>
      <c r="G23" s="717">
        <v>100</v>
      </c>
      <c r="H23" s="433">
        <f t="shared" si="0"/>
        <v>100</v>
      </c>
      <c r="I23" s="719"/>
      <c r="J23" s="386">
        <v>100</v>
      </c>
      <c r="K23" s="299">
        <v>100</v>
      </c>
      <c r="L23" s="433">
        <f>(+K23/J23)*100</f>
        <v>100</v>
      </c>
      <c r="M23" s="1125"/>
      <c r="N23" s="1127"/>
      <c r="O23" s="1185"/>
      <c r="P23" s="1187"/>
      <c r="Q23" s="1127"/>
      <c r="R23" s="1185"/>
      <c r="S23" s="1187"/>
      <c r="T23" s="31"/>
    </row>
    <row r="24" spans="1:20" ht="18" customHeight="1">
      <c r="A24" s="7"/>
      <c r="B24" s="1104"/>
      <c r="C24" s="610" t="s">
        <v>535</v>
      </c>
      <c r="D24" s="385" t="s">
        <v>262</v>
      </c>
      <c r="E24" s="389" t="s">
        <v>534</v>
      </c>
      <c r="F24" s="397" t="s">
        <v>623</v>
      </c>
      <c r="G24" s="383" t="s">
        <v>623</v>
      </c>
      <c r="H24" s="18" t="s">
        <v>623</v>
      </c>
      <c r="I24" s="398"/>
      <c r="J24" s="391">
        <v>1</v>
      </c>
      <c r="K24" s="294">
        <v>1</v>
      </c>
      <c r="L24" s="101">
        <v>100</v>
      </c>
      <c r="M24" s="727"/>
      <c r="N24" s="728"/>
      <c r="O24" s="729"/>
      <c r="P24" s="730"/>
      <c r="Q24" s="728"/>
      <c r="R24" s="729"/>
      <c r="S24" s="730"/>
      <c r="T24" s="31"/>
    </row>
    <row r="25" spans="1:20" ht="15.75" customHeight="1">
      <c r="A25" s="7"/>
      <c r="B25" s="1104"/>
      <c r="C25" s="600" t="s">
        <v>137</v>
      </c>
      <c r="D25" s="600" t="s">
        <v>262</v>
      </c>
      <c r="E25" s="629" t="s">
        <v>426</v>
      </c>
      <c r="F25" s="397" t="s">
        <v>623</v>
      </c>
      <c r="G25" s="383" t="s">
        <v>623</v>
      </c>
      <c r="H25" s="18" t="s">
        <v>623</v>
      </c>
      <c r="I25" s="309"/>
      <c r="J25" s="392">
        <v>2</v>
      </c>
      <c r="K25" s="294">
        <v>2</v>
      </c>
      <c r="L25" s="101">
        <f>(+K25/J25)*100</f>
        <v>100</v>
      </c>
      <c r="M25" s="727"/>
      <c r="N25" s="728"/>
      <c r="O25" s="729"/>
      <c r="P25" s="730"/>
      <c r="Q25" s="728"/>
      <c r="R25" s="729"/>
      <c r="S25" s="730"/>
      <c r="T25" s="31"/>
    </row>
    <row r="26" spans="1:20" ht="43.5" customHeight="1">
      <c r="A26" s="7"/>
      <c r="B26" s="1104"/>
      <c r="C26" s="600" t="s">
        <v>138</v>
      </c>
      <c r="D26" s="600" t="s">
        <v>378</v>
      </c>
      <c r="E26" s="1181" t="s">
        <v>139</v>
      </c>
      <c r="F26" s="397" t="s">
        <v>623</v>
      </c>
      <c r="G26" s="383" t="s">
        <v>623</v>
      </c>
      <c r="H26" s="18" t="s">
        <v>623</v>
      </c>
      <c r="I26" s="309"/>
      <c r="J26" s="392">
        <v>1</v>
      </c>
      <c r="K26" s="294">
        <v>0</v>
      </c>
      <c r="L26" s="101">
        <f>(+K26/J26)*100</f>
        <v>0</v>
      </c>
      <c r="M26" s="727"/>
      <c r="N26" s="728"/>
      <c r="O26" s="729"/>
      <c r="P26" s="730"/>
      <c r="Q26" s="728"/>
      <c r="R26" s="729"/>
      <c r="S26" s="730"/>
      <c r="T26" s="59"/>
    </row>
    <row r="27" spans="1:20" ht="55.5" customHeight="1">
      <c r="A27" s="7"/>
      <c r="B27" s="1104"/>
      <c r="C27" s="600" t="s">
        <v>140</v>
      </c>
      <c r="D27" s="600" t="s">
        <v>379</v>
      </c>
      <c r="E27" s="1181"/>
      <c r="F27" s="397" t="s">
        <v>623</v>
      </c>
      <c r="G27" s="383" t="s">
        <v>623</v>
      </c>
      <c r="H27" s="18" t="s">
        <v>623</v>
      </c>
      <c r="I27" s="309"/>
      <c r="J27" s="392">
        <v>200</v>
      </c>
      <c r="K27" s="294">
        <v>200</v>
      </c>
      <c r="L27" s="101">
        <f>(+K27/J27)*100</f>
        <v>100</v>
      </c>
      <c r="M27" s="727"/>
      <c r="N27" s="728"/>
      <c r="O27" s="729"/>
      <c r="P27" s="730"/>
      <c r="Q27" s="728"/>
      <c r="R27" s="729"/>
      <c r="S27" s="730"/>
      <c r="T27" s="31"/>
    </row>
    <row r="28" spans="1:20" ht="106.5" customHeight="1">
      <c r="A28" s="7"/>
      <c r="B28" s="1104"/>
      <c r="C28" s="1150" t="s">
        <v>141</v>
      </c>
      <c r="D28" s="600" t="s">
        <v>342</v>
      </c>
      <c r="E28" s="629" t="s">
        <v>259</v>
      </c>
      <c r="F28" s="397" t="s">
        <v>623</v>
      </c>
      <c r="G28" s="383" t="s">
        <v>623</v>
      </c>
      <c r="H28" s="18" t="s">
        <v>623</v>
      </c>
      <c r="I28" s="309"/>
      <c r="J28" s="392">
        <v>15</v>
      </c>
      <c r="K28" s="294">
        <v>15</v>
      </c>
      <c r="L28" s="101">
        <f>(+K28/J28)*100</f>
        <v>100</v>
      </c>
      <c r="M28" s="727"/>
      <c r="N28" s="728"/>
      <c r="O28" s="729"/>
      <c r="P28" s="730"/>
      <c r="Q28" s="728"/>
      <c r="R28" s="729"/>
      <c r="S28" s="730"/>
      <c r="T28" s="31"/>
    </row>
    <row r="29" spans="1:20" ht="57.75" customHeight="1">
      <c r="A29" s="7"/>
      <c r="B29" s="1104"/>
      <c r="C29" s="1150"/>
      <c r="D29" s="619" t="s">
        <v>427</v>
      </c>
      <c r="E29" s="290" t="s">
        <v>139</v>
      </c>
      <c r="F29" s="397" t="s">
        <v>623</v>
      </c>
      <c r="G29" s="383" t="s">
        <v>623</v>
      </c>
      <c r="H29" s="18" t="s">
        <v>623</v>
      </c>
      <c r="I29" s="309"/>
      <c r="J29" s="392">
        <v>300</v>
      </c>
      <c r="K29" s="296">
        <v>322</v>
      </c>
      <c r="L29" s="101">
        <v>100</v>
      </c>
      <c r="M29" s="727"/>
      <c r="N29" s="728"/>
      <c r="O29" s="729"/>
      <c r="P29" s="730"/>
      <c r="Q29" s="728"/>
      <c r="R29" s="729"/>
      <c r="S29" s="730"/>
      <c r="T29" s="31"/>
    </row>
    <row r="30" spans="1:20" ht="57.75" customHeight="1" thickBot="1">
      <c r="A30" s="7"/>
      <c r="B30" s="1104"/>
      <c r="C30" s="291" t="s">
        <v>143</v>
      </c>
      <c r="D30" s="291" t="s">
        <v>480</v>
      </c>
      <c r="E30" s="292" t="s">
        <v>139</v>
      </c>
      <c r="F30" s="399" t="s">
        <v>623</v>
      </c>
      <c r="G30" s="400" t="s">
        <v>623</v>
      </c>
      <c r="H30" s="33" t="s">
        <v>623</v>
      </c>
      <c r="I30" s="310"/>
      <c r="J30" s="393">
        <v>20</v>
      </c>
      <c r="K30" s="297">
        <v>20</v>
      </c>
      <c r="L30" s="103">
        <f>(+K30/J30)*100</f>
        <v>100</v>
      </c>
      <c r="M30" s="727"/>
      <c r="N30" s="728"/>
      <c r="O30" s="729"/>
      <c r="P30" s="730"/>
      <c r="Q30" s="728"/>
      <c r="R30" s="729"/>
      <c r="S30" s="730"/>
      <c r="T30" s="69"/>
    </row>
    <row r="31" spans="1:20" ht="46.5" customHeight="1" thickBot="1">
      <c r="A31" s="7"/>
      <c r="B31" s="1105"/>
      <c r="C31" s="258" t="s">
        <v>659</v>
      </c>
      <c r="D31" s="258"/>
      <c r="E31" s="68"/>
      <c r="F31" s="259">
        <v>1600</v>
      </c>
      <c r="G31" s="260"/>
      <c r="H31" s="260">
        <f>SUM(H7:H30)</f>
        <v>1600</v>
      </c>
      <c r="I31" s="248">
        <f>(+H31/F31)*100</f>
        <v>100</v>
      </c>
      <c r="J31" s="261">
        <v>2400</v>
      </c>
      <c r="K31" s="262"/>
      <c r="L31" s="298">
        <f>SUM(L7:L30)</f>
        <v>2300</v>
      </c>
      <c r="M31" s="731"/>
      <c r="N31" s="732"/>
      <c r="O31" s="733"/>
      <c r="P31" s="734"/>
      <c r="Q31" s="732"/>
      <c r="R31" s="733"/>
      <c r="S31" s="734"/>
      <c r="T31" s="723">
        <f>(+L31/J31)*100</f>
        <v>95.83333333333334</v>
      </c>
    </row>
    <row r="32" spans="1:20" ht="42" customHeight="1" thickBot="1">
      <c r="A32" s="5"/>
      <c r="B32" s="923" t="s">
        <v>655</v>
      </c>
      <c r="C32" s="11"/>
      <c r="D32" s="874" t="s">
        <v>541</v>
      </c>
      <c r="E32" s="875"/>
      <c r="F32" s="875"/>
      <c r="G32" s="875"/>
      <c r="H32" s="875"/>
      <c r="I32" s="875"/>
      <c r="J32" s="875"/>
      <c r="K32" s="875"/>
      <c r="L32" s="875"/>
      <c r="M32" s="876"/>
      <c r="N32" s="874" t="s">
        <v>542</v>
      </c>
      <c r="O32" s="875"/>
      <c r="P32" s="875"/>
      <c r="Q32" s="875"/>
      <c r="R32" s="875"/>
      <c r="S32" s="875"/>
      <c r="T32" s="920" t="s">
        <v>269</v>
      </c>
    </row>
    <row r="33" spans="1:20" ht="375.75" customHeight="1" thickBot="1">
      <c r="A33" s="5"/>
      <c r="B33" s="924"/>
      <c r="C33" s="12" t="s">
        <v>439</v>
      </c>
      <c r="D33" s="12" t="s">
        <v>307</v>
      </c>
      <c r="E33" s="12" t="s">
        <v>294</v>
      </c>
      <c r="F33" s="14" t="s">
        <v>271</v>
      </c>
      <c r="G33" s="14" t="s">
        <v>272</v>
      </c>
      <c r="H33" s="15" t="s">
        <v>284</v>
      </c>
      <c r="I33" s="14" t="s">
        <v>285</v>
      </c>
      <c r="J33" s="14" t="s">
        <v>650</v>
      </c>
      <c r="K33" s="14" t="s">
        <v>286</v>
      </c>
      <c r="L33" s="16" t="s">
        <v>287</v>
      </c>
      <c r="M33" s="14" t="s">
        <v>288</v>
      </c>
      <c r="N33" s="14" t="s">
        <v>270</v>
      </c>
      <c r="O33" s="15" t="s">
        <v>289</v>
      </c>
      <c r="P33" s="14" t="s">
        <v>290</v>
      </c>
      <c r="Q33" s="14" t="s">
        <v>696</v>
      </c>
      <c r="R33" s="15" t="s">
        <v>291</v>
      </c>
      <c r="S33" s="16" t="s">
        <v>292</v>
      </c>
      <c r="T33" s="921"/>
    </row>
    <row r="34" spans="1:20" ht="36" customHeight="1" thickBot="1">
      <c r="A34" s="5"/>
      <c r="B34" s="1031" t="s">
        <v>425</v>
      </c>
      <c r="C34" s="1032"/>
      <c r="D34" s="1032"/>
      <c r="E34" s="1032"/>
      <c r="F34" s="1032"/>
      <c r="G34" s="1032"/>
      <c r="H34" s="1032"/>
      <c r="I34" s="1032"/>
      <c r="J34" s="1032"/>
      <c r="K34" s="1032"/>
      <c r="L34" s="1032"/>
      <c r="M34" s="1033"/>
      <c r="N34" s="1033"/>
      <c r="O34" s="1033"/>
      <c r="P34" s="1033"/>
      <c r="Q34" s="1033"/>
      <c r="R34" s="1033"/>
      <c r="S34" s="1033"/>
      <c r="T34" s="1034"/>
    </row>
    <row r="35" spans="1:20" ht="77.25" customHeight="1" thickBot="1">
      <c r="A35" s="7"/>
      <c r="B35" s="1103" t="s">
        <v>430</v>
      </c>
      <c r="C35" s="627" t="s">
        <v>748</v>
      </c>
      <c r="D35" s="627" t="s">
        <v>262</v>
      </c>
      <c r="E35" s="371" t="s">
        <v>749</v>
      </c>
      <c r="F35" s="336">
        <v>2000</v>
      </c>
      <c r="G35" s="289">
        <v>2000</v>
      </c>
      <c r="H35" s="367">
        <f aca="true" t="shared" si="1" ref="H35:H40">(+G35/F35)*100</f>
        <v>100</v>
      </c>
      <c r="I35" s="375"/>
      <c r="J35" s="366">
        <v>2000</v>
      </c>
      <c r="K35" s="379">
        <v>2000</v>
      </c>
      <c r="L35" s="103">
        <f aca="true" t="shared" si="2" ref="L35:L40">+(K35/J35)*100</f>
        <v>100</v>
      </c>
      <c r="M35" s="1134">
        <v>15</v>
      </c>
      <c r="N35" s="1137">
        <v>315803448</v>
      </c>
      <c r="O35" s="1137">
        <v>315539539</v>
      </c>
      <c r="P35" s="1151">
        <f>(+O35/N35)*100</f>
        <v>99.91643251469503</v>
      </c>
      <c r="Q35" s="1137">
        <f>(350000000+200000000+400000000+N35)</f>
        <v>1265803448</v>
      </c>
      <c r="R35" s="1137">
        <f>149959221.09+389838200+O35</f>
        <v>855336960.09</v>
      </c>
      <c r="S35" s="1151">
        <f>(+R35/Q35)*100</f>
        <v>67.57265209234917</v>
      </c>
      <c r="T35" s="21"/>
    </row>
    <row r="36" spans="1:20" ht="56.25" customHeight="1" thickBot="1">
      <c r="A36" s="7"/>
      <c r="B36" s="1104"/>
      <c r="C36" s="628" t="s">
        <v>750</v>
      </c>
      <c r="D36" s="628" t="s">
        <v>262</v>
      </c>
      <c r="E36" s="623" t="s">
        <v>751</v>
      </c>
      <c r="F36" s="368">
        <v>3</v>
      </c>
      <c r="G36" s="343">
        <v>3</v>
      </c>
      <c r="H36" s="367">
        <f t="shared" si="1"/>
        <v>100</v>
      </c>
      <c r="I36" s="376"/>
      <c r="J36" s="368">
        <v>3</v>
      </c>
      <c r="K36" s="365">
        <v>3</v>
      </c>
      <c r="L36" s="103">
        <f t="shared" si="2"/>
        <v>100</v>
      </c>
      <c r="M36" s="1135"/>
      <c r="N36" s="1138"/>
      <c r="O36" s="1138"/>
      <c r="P36" s="1152"/>
      <c r="Q36" s="1138"/>
      <c r="R36" s="1138"/>
      <c r="S36" s="1152"/>
      <c r="T36" s="63"/>
    </row>
    <row r="37" spans="1:20" ht="102.75" customHeight="1" thickBot="1">
      <c r="A37" s="7"/>
      <c r="B37" s="1104"/>
      <c r="C37" s="628" t="s">
        <v>752</v>
      </c>
      <c r="D37" s="628" t="s">
        <v>265</v>
      </c>
      <c r="E37" s="623" t="s">
        <v>753</v>
      </c>
      <c r="F37" s="368">
        <v>100</v>
      </c>
      <c r="G37" s="343">
        <v>100</v>
      </c>
      <c r="H37" s="367">
        <f t="shared" si="1"/>
        <v>100</v>
      </c>
      <c r="I37" s="376"/>
      <c r="J37" s="368">
        <v>100</v>
      </c>
      <c r="K37" s="365">
        <v>100</v>
      </c>
      <c r="L37" s="103">
        <f t="shared" si="2"/>
        <v>100</v>
      </c>
      <c r="M37" s="1135"/>
      <c r="N37" s="1138"/>
      <c r="O37" s="1138"/>
      <c r="P37" s="1152"/>
      <c r="Q37" s="1138"/>
      <c r="R37" s="1138"/>
      <c r="S37" s="1152"/>
      <c r="T37" s="63"/>
    </row>
    <row r="38" spans="1:20" ht="66" customHeight="1" thickBot="1">
      <c r="A38" s="7"/>
      <c r="B38" s="1104"/>
      <c r="C38" s="628" t="s">
        <v>754</v>
      </c>
      <c r="D38" s="628" t="s">
        <v>265</v>
      </c>
      <c r="E38" s="623" t="s">
        <v>755</v>
      </c>
      <c r="F38" s="368">
        <v>100</v>
      </c>
      <c r="G38" s="343">
        <v>100</v>
      </c>
      <c r="H38" s="367">
        <f t="shared" si="1"/>
        <v>100</v>
      </c>
      <c r="I38" s="376"/>
      <c r="J38" s="368">
        <v>100</v>
      </c>
      <c r="K38" s="365">
        <v>100</v>
      </c>
      <c r="L38" s="103">
        <f t="shared" si="2"/>
        <v>100</v>
      </c>
      <c r="M38" s="1135"/>
      <c r="N38" s="1138"/>
      <c r="O38" s="1138"/>
      <c r="P38" s="1152"/>
      <c r="Q38" s="1138"/>
      <c r="R38" s="1138"/>
      <c r="S38" s="1152"/>
      <c r="T38" s="63"/>
    </row>
    <row r="39" spans="1:20" ht="98.25" customHeight="1" thickBot="1">
      <c r="A39" s="7"/>
      <c r="B39" s="1104"/>
      <c r="C39" s="363" t="s">
        <v>756</v>
      </c>
      <c r="D39" s="628" t="s">
        <v>262</v>
      </c>
      <c r="E39" s="623" t="s">
        <v>757</v>
      </c>
      <c r="F39" s="368">
        <v>21</v>
      </c>
      <c r="G39" s="343">
        <v>21</v>
      </c>
      <c r="H39" s="367">
        <f t="shared" si="1"/>
        <v>100</v>
      </c>
      <c r="I39" s="376"/>
      <c r="J39" s="368">
        <v>21</v>
      </c>
      <c r="K39" s="365">
        <v>21</v>
      </c>
      <c r="L39" s="103">
        <f t="shared" si="2"/>
        <v>100</v>
      </c>
      <c r="M39" s="1135"/>
      <c r="N39" s="1138"/>
      <c r="O39" s="1138"/>
      <c r="P39" s="1152"/>
      <c r="Q39" s="1138"/>
      <c r="R39" s="1138"/>
      <c r="S39" s="1152"/>
      <c r="T39" s="63"/>
    </row>
    <row r="40" spans="1:20" ht="130.5" customHeight="1" thickBot="1">
      <c r="A40" s="7"/>
      <c r="B40" s="1105"/>
      <c r="C40" s="628" t="s">
        <v>758</v>
      </c>
      <c r="D40" s="628" t="s">
        <v>759</v>
      </c>
      <c r="E40" s="372" t="s">
        <v>760</v>
      </c>
      <c r="F40" s="368">
        <v>100</v>
      </c>
      <c r="G40" s="343">
        <v>100</v>
      </c>
      <c r="H40" s="367">
        <f t="shared" si="1"/>
        <v>100</v>
      </c>
      <c r="I40" s="376"/>
      <c r="J40" s="368">
        <v>100</v>
      </c>
      <c r="K40" s="365">
        <v>100</v>
      </c>
      <c r="L40" s="103">
        <f t="shared" si="2"/>
        <v>100</v>
      </c>
      <c r="M40" s="1135"/>
      <c r="N40" s="1138"/>
      <c r="O40" s="1138"/>
      <c r="P40" s="1152"/>
      <c r="Q40" s="1138"/>
      <c r="R40" s="1138"/>
      <c r="S40" s="1152"/>
      <c r="T40" s="63"/>
    </row>
    <row r="41" spans="1:20" ht="33" customHeight="1">
      <c r="A41" s="7"/>
      <c r="B41" s="1103" t="s">
        <v>430</v>
      </c>
      <c r="C41" s="38" t="s">
        <v>194</v>
      </c>
      <c r="D41" s="1171" t="s">
        <v>322</v>
      </c>
      <c r="E41" s="1148" t="s">
        <v>139</v>
      </c>
      <c r="F41" s="1133" t="s">
        <v>623</v>
      </c>
      <c r="G41" s="888" t="s">
        <v>623</v>
      </c>
      <c r="H41" s="888" t="s">
        <v>623</v>
      </c>
      <c r="I41" s="1146"/>
      <c r="J41" s="1172">
        <v>100</v>
      </c>
      <c r="K41" s="1163">
        <v>100</v>
      </c>
      <c r="L41" s="1146">
        <f>(+K41/J41)*100</f>
        <v>100</v>
      </c>
      <c r="M41" s="1135"/>
      <c r="N41" s="1138"/>
      <c r="O41" s="1138"/>
      <c r="P41" s="1152"/>
      <c r="Q41" s="1138"/>
      <c r="R41" s="1138"/>
      <c r="S41" s="1152"/>
      <c r="T41" s="22"/>
    </row>
    <row r="42" spans="1:20" ht="36" customHeight="1">
      <c r="A42" s="7"/>
      <c r="B42" s="1104"/>
      <c r="C42" s="38" t="s">
        <v>195</v>
      </c>
      <c r="D42" s="1171"/>
      <c r="E42" s="1148"/>
      <c r="F42" s="1133" t="s">
        <v>623</v>
      </c>
      <c r="G42" s="888"/>
      <c r="H42" s="888"/>
      <c r="I42" s="1146"/>
      <c r="J42" s="1172"/>
      <c r="K42" s="1163"/>
      <c r="L42" s="1146"/>
      <c r="M42" s="1135"/>
      <c r="N42" s="1138"/>
      <c r="O42" s="1138"/>
      <c r="P42" s="1152"/>
      <c r="Q42" s="1138"/>
      <c r="R42" s="1138"/>
      <c r="S42" s="1152"/>
      <c r="T42" s="22"/>
    </row>
    <row r="43" spans="1:20" ht="37.5" customHeight="1">
      <c r="A43" s="7"/>
      <c r="B43" s="1104"/>
      <c r="C43" s="34" t="s">
        <v>196</v>
      </c>
      <c r="D43" s="1171" t="s">
        <v>197</v>
      </c>
      <c r="E43" s="373" t="s">
        <v>431</v>
      </c>
      <c r="F43" s="369" t="s">
        <v>623</v>
      </c>
      <c r="G43" s="599" t="s">
        <v>623</v>
      </c>
      <c r="H43" s="115" t="s">
        <v>623</v>
      </c>
      <c r="I43" s="616"/>
      <c r="J43" s="626">
        <v>21</v>
      </c>
      <c r="K43" s="622">
        <v>21</v>
      </c>
      <c r="L43" s="616">
        <f aca="true" t="shared" si="3" ref="L43:L51">(+K43/J43)*100</f>
        <v>100</v>
      </c>
      <c r="M43" s="1135"/>
      <c r="N43" s="1138"/>
      <c r="O43" s="1138"/>
      <c r="P43" s="1152"/>
      <c r="Q43" s="1138"/>
      <c r="R43" s="1138"/>
      <c r="S43" s="1152"/>
      <c r="T43" s="22"/>
    </row>
    <row r="44" spans="1:20" ht="57" customHeight="1">
      <c r="A44" s="7"/>
      <c r="B44" s="1104"/>
      <c r="C44" s="34" t="s">
        <v>198</v>
      </c>
      <c r="D44" s="1171"/>
      <c r="E44" s="374" t="s">
        <v>199</v>
      </c>
      <c r="F44" s="369" t="s">
        <v>623</v>
      </c>
      <c r="G44" s="599" t="s">
        <v>623</v>
      </c>
      <c r="H44" s="115" t="s">
        <v>623</v>
      </c>
      <c r="I44" s="377"/>
      <c r="J44" s="626">
        <v>21</v>
      </c>
      <c r="K44" s="622">
        <v>21</v>
      </c>
      <c r="L44" s="377">
        <f t="shared" si="3"/>
        <v>100</v>
      </c>
      <c r="M44" s="1135"/>
      <c r="N44" s="1138"/>
      <c r="O44" s="1138"/>
      <c r="P44" s="1152"/>
      <c r="Q44" s="1138"/>
      <c r="R44" s="1138"/>
      <c r="S44" s="1152"/>
      <c r="T44" s="22"/>
    </row>
    <row r="45" spans="1:20" ht="22.5" customHeight="1">
      <c r="A45" s="7"/>
      <c r="B45" s="1104"/>
      <c r="C45" s="36" t="s">
        <v>200</v>
      </c>
      <c r="D45" s="1171"/>
      <c r="E45" s="1169" t="s">
        <v>201</v>
      </c>
      <c r="F45" s="369" t="s">
        <v>623</v>
      </c>
      <c r="G45" s="599" t="s">
        <v>623</v>
      </c>
      <c r="H45" s="115" t="s">
        <v>623</v>
      </c>
      <c r="I45" s="377"/>
      <c r="J45" s="626">
        <v>7</v>
      </c>
      <c r="K45" s="622">
        <v>7</v>
      </c>
      <c r="L45" s="377">
        <f t="shared" si="3"/>
        <v>100</v>
      </c>
      <c r="M45" s="1135"/>
      <c r="N45" s="1138"/>
      <c r="O45" s="1138"/>
      <c r="P45" s="1152"/>
      <c r="Q45" s="1138"/>
      <c r="R45" s="1138"/>
      <c r="S45" s="1152"/>
      <c r="T45" s="60"/>
    </row>
    <row r="46" spans="1:20" ht="31.5" customHeight="1">
      <c r="A46" s="7"/>
      <c r="B46" s="1104"/>
      <c r="C46" s="37" t="s">
        <v>202</v>
      </c>
      <c r="D46" s="1171"/>
      <c r="E46" s="1169"/>
      <c r="F46" s="369" t="s">
        <v>623</v>
      </c>
      <c r="G46" s="599" t="s">
        <v>623</v>
      </c>
      <c r="H46" s="115" t="s">
        <v>623</v>
      </c>
      <c r="I46" s="377"/>
      <c r="J46" s="626">
        <v>20</v>
      </c>
      <c r="K46" s="622">
        <v>20</v>
      </c>
      <c r="L46" s="377">
        <f t="shared" si="3"/>
        <v>100</v>
      </c>
      <c r="M46" s="1135"/>
      <c r="N46" s="1138"/>
      <c r="O46" s="1138"/>
      <c r="P46" s="1152"/>
      <c r="Q46" s="1138"/>
      <c r="R46" s="1138"/>
      <c r="S46" s="1152"/>
      <c r="T46" s="22"/>
    </row>
    <row r="47" spans="1:20" ht="39.75" customHeight="1">
      <c r="A47" s="7"/>
      <c r="B47" s="1104"/>
      <c r="C47" s="34" t="s">
        <v>203</v>
      </c>
      <c r="D47" s="1171"/>
      <c r="E47" s="1169"/>
      <c r="F47" s="369" t="s">
        <v>623</v>
      </c>
      <c r="G47" s="599" t="s">
        <v>623</v>
      </c>
      <c r="H47" s="115" t="s">
        <v>623</v>
      </c>
      <c r="I47" s="377"/>
      <c r="J47" s="626">
        <v>1</v>
      </c>
      <c r="K47" s="622">
        <v>1</v>
      </c>
      <c r="L47" s="377">
        <f t="shared" si="3"/>
        <v>100</v>
      </c>
      <c r="M47" s="1135"/>
      <c r="N47" s="1138"/>
      <c r="O47" s="1138"/>
      <c r="P47" s="1152"/>
      <c r="Q47" s="1138"/>
      <c r="R47" s="1138"/>
      <c r="S47" s="1152"/>
      <c r="T47" s="22"/>
    </row>
    <row r="48" spans="1:20" ht="36" customHeight="1">
      <c r="A48" s="7"/>
      <c r="B48" s="1104"/>
      <c r="C48" s="34" t="s">
        <v>204</v>
      </c>
      <c r="D48" s="1171"/>
      <c r="E48" s="1169"/>
      <c r="F48" s="369" t="s">
        <v>623</v>
      </c>
      <c r="G48" s="599" t="s">
        <v>623</v>
      </c>
      <c r="H48" s="115" t="s">
        <v>623</v>
      </c>
      <c r="I48" s="377"/>
      <c r="J48" s="380">
        <v>1</v>
      </c>
      <c r="K48" s="622">
        <v>1</v>
      </c>
      <c r="L48" s="377">
        <f t="shared" si="3"/>
        <v>100</v>
      </c>
      <c r="M48" s="1135"/>
      <c r="N48" s="1138"/>
      <c r="O48" s="1138"/>
      <c r="P48" s="1152"/>
      <c r="Q48" s="1138"/>
      <c r="R48" s="1138"/>
      <c r="S48" s="1152"/>
      <c r="T48" s="22"/>
    </row>
    <row r="49" spans="1:20" ht="32.25" customHeight="1">
      <c r="A49" s="7"/>
      <c r="B49" s="1104"/>
      <c r="C49" s="34" t="s">
        <v>205</v>
      </c>
      <c r="D49" s="1171"/>
      <c r="E49" s="1169"/>
      <c r="F49" s="369" t="s">
        <v>623</v>
      </c>
      <c r="G49" s="599" t="s">
        <v>623</v>
      </c>
      <c r="H49" s="115" t="s">
        <v>623</v>
      </c>
      <c r="I49" s="377"/>
      <c r="J49" s="380">
        <v>21</v>
      </c>
      <c r="K49" s="622">
        <v>21</v>
      </c>
      <c r="L49" s="377">
        <f t="shared" si="3"/>
        <v>100</v>
      </c>
      <c r="M49" s="1135"/>
      <c r="N49" s="1138"/>
      <c r="O49" s="1138"/>
      <c r="P49" s="1152"/>
      <c r="Q49" s="1138"/>
      <c r="R49" s="1138"/>
      <c r="S49" s="1152"/>
      <c r="T49" s="61"/>
    </row>
    <row r="50" spans="1:20" ht="36" customHeight="1">
      <c r="A50" s="7"/>
      <c r="B50" s="1104"/>
      <c r="C50" s="38" t="s">
        <v>206</v>
      </c>
      <c r="D50" s="1171"/>
      <c r="E50" s="1169"/>
      <c r="F50" s="369" t="s">
        <v>623</v>
      </c>
      <c r="G50" s="599" t="s">
        <v>623</v>
      </c>
      <c r="H50" s="115" t="s">
        <v>623</v>
      </c>
      <c r="I50" s="377"/>
      <c r="J50" s="380">
        <v>20</v>
      </c>
      <c r="K50" s="622">
        <v>20</v>
      </c>
      <c r="L50" s="377">
        <f t="shared" si="3"/>
        <v>100</v>
      </c>
      <c r="M50" s="1135"/>
      <c r="N50" s="1138"/>
      <c r="O50" s="1138"/>
      <c r="P50" s="1152"/>
      <c r="Q50" s="1138"/>
      <c r="R50" s="1138"/>
      <c r="S50" s="1152"/>
      <c r="T50" s="35"/>
    </row>
    <row r="51" spans="1:20" ht="36" customHeight="1" thickBot="1">
      <c r="A51" s="7"/>
      <c r="B51" s="1104"/>
      <c r="C51" s="364" t="s">
        <v>207</v>
      </c>
      <c r="D51" s="1180"/>
      <c r="E51" s="1170"/>
      <c r="F51" s="370" t="s">
        <v>623</v>
      </c>
      <c r="G51" s="136" t="s">
        <v>623</v>
      </c>
      <c r="H51" s="117" t="s">
        <v>623</v>
      </c>
      <c r="I51" s="378"/>
      <c r="J51" s="381">
        <v>1</v>
      </c>
      <c r="K51" s="268">
        <v>1</v>
      </c>
      <c r="L51" s="378">
        <f t="shared" si="3"/>
        <v>100</v>
      </c>
      <c r="M51" s="1135"/>
      <c r="N51" s="1138"/>
      <c r="O51" s="1138"/>
      <c r="P51" s="1152"/>
      <c r="Q51" s="1138"/>
      <c r="R51" s="1138"/>
      <c r="S51" s="1152"/>
      <c r="T51" s="35"/>
    </row>
    <row r="52" spans="1:20" ht="43.5" customHeight="1" thickBot="1">
      <c r="A52" s="7"/>
      <c r="B52" s="1105"/>
      <c r="C52" s="258" t="s">
        <v>659</v>
      </c>
      <c r="D52" s="258"/>
      <c r="E52" s="68"/>
      <c r="F52" s="318">
        <v>600</v>
      </c>
      <c r="G52" s="319"/>
      <c r="H52" s="319">
        <f>SUM(H35:H51)</f>
        <v>600</v>
      </c>
      <c r="I52" s="320">
        <f>(+H52/F52)*100</f>
        <v>100</v>
      </c>
      <c r="J52" s="321">
        <v>1600</v>
      </c>
      <c r="K52" s="319"/>
      <c r="L52" s="353">
        <f>SUM(L35:L51)</f>
        <v>1600</v>
      </c>
      <c r="M52" s="1194"/>
      <c r="N52" s="1139"/>
      <c r="O52" s="1139"/>
      <c r="P52" s="1153"/>
      <c r="Q52" s="1139"/>
      <c r="R52" s="1139"/>
      <c r="S52" s="1153"/>
      <c r="T52" s="723">
        <f>(+L52/J52)*100</f>
        <v>100</v>
      </c>
    </row>
    <row r="53" spans="1:22" ht="37.5" customHeight="1" thickBot="1">
      <c r="A53" s="7"/>
      <c r="B53" s="1154" t="s">
        <v>618</v>
      </c>
      <c r="C53" s="301" t="s">
        <v>144</v>
      </c>
      <c r="D53" s="301" t="s">
        <v>387</v>
      </c>
      <c r="E53" s="1161" t="s">
        <v>735</v>
      </c>
      <c r="F53" s="522">
        <v>2</v>
      </c>
      <c r="G53" s="523">
        <v>2</v>
      </c>
      <c r="H53" s="523">
        <f>(+G53/F53)*100</f>
        <v>100</v>
      </c>
      <c r="I53" s="524"/>
      <c r="J53" s="525">
        <v>12</v>
      </c>
      <c r="K53" s="306">
        <v>12</v>
      </c>
      <c r="L53" s="307">
        <f>(+K53/J53)*100</f>
        <v>100</v>
      </c>
      <c r="M53" s="1124">
        <v>20</v>
      </c>
      <c r="N53" s="1182">
        <v>489000000</v>
      </c>
      <c r="O53" s="1156">
        <v>425598087</v>
      </c>
      <c r="P53" s="1186">
        <f>(+O53/N53)*100</f>
        <v>87.03437361963189</v>
      </c>
      <c r="Q53" s="1182">
        <f>(900000000+350000000+500000000+500000000)</f>
        <v>2250000000</v>
      </c>
      <c r="R53" s="1156">
        <f>(311092986+287995587+149959221+O53+345289486+329278981)</f>
        <v>1849214348</v>
      </c>
      <c r="S53" s="1186">
        <f>(+R53/Q53)*100</f>
        <v>82.18730435555555</v>
      </c>
      <c r="T53" s="21"/>
      <c r="U53">
        <v>3150000000</v>
      </c>
      <c r="V53">
        <v>2671380646</v>
      </c>
    </row>
    <row r="54" spans="1:22" ht="41.25" customHeight="1" thickBot="1" thickTop="1">
      <c r="A54" s="7"/>
      <c r="B54" s="1193"/>
      <c r="C54" s="302" t="s">
        <v>145</v>
      </c>
      <c r="D54" s="302" t="s">
        <v>323</v>
      </c>
      <c r="E54" s="1162"/>
      <c r="F54" s="198">
        <v>2</v>
      </c>
      <c r="G54" s="523">
        <v>2</v>
      </c>
      <c r="H54" s="609">
        <f aca="true" t="shared" si="4" ref="H54:H59">(+G54/F54)*100</f>
        <v>100</v>
      </c>
      <c r="I54" s="519"/>
      <c r="J54" s="609">
        <v>7</v>
      </c>
      <c r="K54" s="304">
        <v>7</v>
      </c>
      <c r="L54" s="308">
        <f aca="true" t="shared" si="5" ref="L54:L59">(+K54/J54)*100</f>
        <v>100</v>
      </c>
      <c r="M54" s="1125"/>
      <c r="N54" s="1183"/>
      <c r="O54" s="1157"/>
      <c r="P54" s="1187"/>
      <c r="Q54" s="1183"/>
      <c r="R54" s="1157"/>
      <c r="S54" s="1187"/>
      <c r="T54" s="22"/>
      <c r="U54">
        <v>1265803448</v>
      </c>
      <c r="V54">
        <v>855336961</v>
      </c>
    </row>
    <row r="55" spans="1:22" ht="32.25" customHeight="1" thickBot="1" thickTop="1">
      <c r="A55" s="7"/>
      <c r="B55" s="1193"/>
      <c r="C55" s="302" t="s">
        <v>146</v>
      </c>
      <c r="D55" s="302" t="s">
        <v>324</v>
      </c>
      <c r="E55" s="1162"/>
      <c r="F55" s="198">
        <v>2</v>
      </c>
      <c r="G55" s="523">
        <v>2</v>
      </c>
      <c r="H55" s="609">
        <f t="shared" si="4"/>
        <v>100</v>
      </c>
      <c r="I55" s="519"/>
      <c r="J55" s="520">
        <v>7</v>
      </c>
      <c r="K55" s="304">
        <v>7</v>
      </c>
      <c r="L55" s="308">
        <f t="shared" si="5"/>
        <v>100</v>
      </c>
      <c r="M55" s="1125"/>
      <c r="N55" s="1183"/>
      <c r="O55" s="1157"/>
      <c r="P55" s="1187"/>
      <c r="Q55" s="1183"/>
      <c r="R55" s="1157"/>
      <c r="S55" s="1187"/>
      <c r="T55" s="22"/>
      <c r="U55">
        <v>2250000000</v>
      </c>
      <c r="V55">
        <v>1849214348</v>
      </c>
    </row>
    <row r="56" spans="1:22" ht="36" customHeight="1" thickBot="1" thickTop="1">
      <c r="A56" s="7"/>
      <c r="B56" s="1193"/>
      <c r="C56" s="302" t="s">
        <v>732</v>
      </c>
      <c r="D56" s="302" t="s">
        <v>328</v>
      </c>
      <c r="E56" s="1178" t="s">
        <v>428</v>
      </c>
      <c r="F56" s="198">
        <v>1</v>
      </c>
      <c r="G56" s="304">
        <v>1</v>
      </c>
      <c r="H56" s="609">
        <f t="shared" si="4"/>
        <v>100</v>
      </c>
      <c r="I56" s="519"/>
      <c r="J56" s="609">
        <v>6</v>
      </c>
      <c r="K56" s="304">
        <v>6</v>
      </c>
      <c r="L56" s="308">
        <f t="shared" si="5"/>
        <v>100</v>
      </c>
      <c r="M56" s="1125"/>
      <c r="N56" s="1183"/>
      <c r="O56" s="1157"/>
      <c r="P56" s="1187"/>
      <c r="Q56" s="1183"/>
      <c r="R56" s="1157"/>
      <c r="S56" s="1187"/>
      <c r="T56" s="22"/>
      <c r="U56">
        <v>1200000000</v>
      </c>
      <c r="V56">
        <v>1004491897</v>
      </c>
    </row>
    <row r="57" spans="1:22" ht="39.75" customHeight="1" thickBot="1" thickTop="1">
      <c r="A57" s="7"/>
      <c r="B57" s="1193"/>
      <c r="C57" s="302" t="s">
        <v>733</v>
      </c>
      <c r="D57" s="302" t="s">
        <v>388</v>
      </c>
      <c r="E57" s="1178"/>
      <c r="F57" s="198">
        <v>25</v>
      </c>
      <c r="G57" s="304">
        <v>25</v>
      </c>
      <c r="H57" s="609">
        <f t="shared" si="4"/>
        <v>100</v>
      </c>
      <c r="I57" s="519"/>
      <c r="J57" s="609">
        <v>25</v>
      </c>
      <c r="K57" s="304">
        <v>25</v>
      </c>
      <c r="L57" s="308">
        <f t="shared" si="5"/>
        <v>100</v>
      </c>
      <c r="M57" s="1125"/>
      <c r="N57" s="1183"/>
      <c r="O57" s="1157"/>
      <c r="P57" s="1187"/>
      <c r="Q57" s="1183"/>
      <c r="R57" s="1157"/>
      <c r="S57" s="1187"/>
      <c r="T57" s="22"/>
      <c r="U57">
        <v>3535129000</v>
      </c>
      <c r="V57">
        <v>3468207194</v>
      </c>
    </row>
    <row r="58" spans="1:20" ht="24.75" customHeight="1" thickBot="1" thickTop="1">
      <c r="A58" s="7"/>
      <c r="B58" s="1193"/>
      <c r="C58" s="311" t="s">
        <v>734</v>
      </c>
      <c r="D58" s="613" t="s">
        <v>262</v>
      </c>
      <c r="E58" s="1178"/>
      <c r="F58" s="198">
        <v>1</v>
      </c>
      <c r="G58" s="609">
        <v>1</v>
      </c>
      <c r="H58" s="609">
        <f t="shared" si="4"/>
        <v>100</v>
      </c>
      <c r="I58" s="519"/>
      <c r="J58" s="609">
        <v>1</v>
      </c>
      <c r="K58" s="304">
        <v>1</v>
      </c>
      <c r="L58" s="308">
        <f t="shared" si="5"/>
        <v>100</v>
      </c>
      <c r="M58" s="1125"/>
      <c r="N58" s="1183"/>
      <c r="O58" s="1157"/>
      <c r="P58" s="1187"/>
      <c r="Q58" s="1183"/>
      <c r="R58" s="1157"/>
      <c r="S58" s="1187"/>
      <c r="T58" s="22"/>
    </row>
    <row r="59" spans="1:20" ht="47.25" customHeight="1" thickBot="1" thickTop="1">
      <c r="A59" s="7"/>
      <c r="B59" s="1193"/>
      <c r="C59" s="613" t="s">
        <v>999</v>
      </c>
      <c r="D59" s="613" t="s">
        <v>262</v>
      </c>
      <c r="E59" s="1178"/>
      <c r="F59" s="198">
        <v>1</v>
      </c>
      <c r="G59" s="304">
        <v>1</v>
      </c>
      <c r="H59" s="609">
        <f t="shared" si="4"/>
        <v>100</v>
      </c>
      <c r="I59" s="519"/>
      <c r="J59" s="609">
        <v>1</v>
      </c>
      <c r="K59" s="304">
        <v>1</v>
      </c>
      <c r="L59" s="308">
        <f t="shared" si="5"/>
        <v>100</v>
      </c>
      <c r="M59" s="1125"/>
      <c r="N59" s="1183"/>
      <c r="O59" s="1157"/>
      <c r="P59" s="1187"/>
      <c r="Q59" s="1183"/>
      <c r="R59" s="1157"/>
      <c r="S59" s="1187"/>
      <c r="T59" s="22"/>
    </row>
    <row r="60" spans="1:20" ht="27" customHeight="1" thickBot="1" thickTop="1">
      <c r="A60" s="7"/>
      <c r="B60" s="1193"/>
      <c r="C60" s="614" t="s">
        <v>147</v>
      </c>
      <c r="D60" s="614" t="s">
        <v>262</v>
      </c>
      <c r="E60" s="1178"/>
      <c r="F60" s="266" t="s">
        <v>623</v>
      </c>
      <c r="G60" s="62" t="s">
        <v>623</v>
      </c>
      <c r="H60" s="27"/>
      <c r="I60" s="521"/>
      <c r="J60" s="327">
        <v>5</v>
      </c>
      <c r="K60" s="527">
        <v>5</v>
      </c>
      <c r="L60" s="528">
        <v>100</v>
      </c>
      <c r="M60" s="1125"/>
      <c r="N60" s="1183"/>
      <c r="O60" s="1157"/>
      <c r="P60" s="1187"/>
      <c r="Q60" s="1183"/>
      <c r="R60" s="1157"/>
      <c r="S60" s="1187"/>
      <c r="T60" s="22"/>
    </row>
    <row r="61" spans="1:20" ht="26.25" customHeight="1" thickBot="1" thickTop="1">
      <c r="A61" s="7"/>
      <c r="B61" s="1193"/>
      <c r="C61" s="147" t="s">
        <v>164</v>
      </c>
      <c r="D61" s="147" t="s">
        <v>963</v>
      </c>
      <c r="E61" s="1179"/>
      <c r="F61" s="312" t="s">
        <v>623</v>
      </c>
      <c r="G61" s="255" t="s">
        <v>623</v>
      </c>
      <c r="H61" s="28"/>
      <c r="I61" s="526"/>
      <c r="J61" s="529">
        <v>1</v>
      </c>
      <c r="K61" s="530">
        <v>1</v>
      </c>
      <c r="L61" s="531">
        <f>(+K61/J61)*100</f>
        <v>100</v>
      </c>
      <c r="M61" s="1125"/>
      <c r="N61" s="1183"/>
      <c r="O61" s="1157"/>
      <c r="P61" s="1187"/>
      <c r="Q61" s="1183"/>
      <c r="R61" s="1157"/>
      <c r="S61" s="1187"/>
      <c r="T61" s="22"/>
    </row>
    <row r="62" spans="1:20" ht="43.5" customHeight="1" thickBot="1" thickTop="1">
      <c r="A62" s="7"/>
      <c r="B62" s="1193"/>
      <c r="C62" s="315" t="s">
        <v>659</v>
      </c>
      <c r="D62" s="316"/>
      <c r="E62" s="317"/>
      <c r="F62" s="318">
        <v>700</v>
      </c>
      <c r="G62" s="319"/>
      <c r="H62" s="319">
        <f>SUM(H53:H61)</f>
        <v>700</v>
      </c>
      <c r="I62" s="320">
        <f>(+H62/F62)*100</f>
        <v>100</v>
      </c>
      <c r="J62" s="321">
        <v>900</v>
      </c>
      <c r="K62" s="319"/>
      <c r="L62" s="322">
        <f>SUM(L53:L61)</f>
        <v>900</v>
      </c>
      <c r="M62" s="1129"/>
      <c r="N62" s="1183"/>
      <c r="O62" s="1157"/>
      <c r="P62" s="1187"/>
      <c r="Q62" s="1183"/>
      <c r="R62" s="1157"/>
      <c r="S62" s="1187"/>
      <c r="T62" s="723">
        <f>(+L62/J62)*100</f>
        <v>100</v>
      </c>
    </row>
    <row r="63" spans="1:20" ht="37.5" customHeight="1" thickBot="1">
      <c r="A63" s="7"/>
      <c r="B63" s="1154" t="s">
        <v>375</v>
      </c>
      <c r="C63" s="627" t="s">
        <v>736</v>
      </c>
      <c r="D63" s="215" t="s">
        <v>265</v>
      </c>
      <c r="E63" s="1087" t="s">
        <v>428</v>
      </c>
      <c r="F63" s="338">
        <v>100</v>
      </c>
      <c r="G63" s="293">
        <v>100</v>
      </c>
      <c r="H63" s="533">
        <f>(+G63/F63)*100</f>
        <v>100</v>
      </c>
      <c r="I63" s="337"/>
      <c r="J63" s="338">
        <v>100</v>
      </c>
      <c r="K63" s="338">
        <v>100</v>
      </c>
      <c r="L63" s="533">
        <f>(+K63/J63)*100</f>
        <v>100</v>
      </c>
      <c r="M63" s="1134">
        <v>15</v>
      </c>
      <c r="N63" s="1137">
        <v>96237000</v>
      </c>
      <c r="O63" s="1156">
        <v>95982400</v>
      </c>
      <c r="P63" s="1151">
        <f>(+O63/N63)*100</f>
        <v>99.7354447873479</v>
      </c>
      <c r="Q63" s="1137">
        <v>1200000000</v>
      </c>
      <c r="R63" s="1156">
        <f>(908509497+O63)</f>
        <v>1004491897</v>
      </c>
      <c r="S63" s="1151">
        <f>(+R63/Q63)*100</f>
        <v>83.70765808333334</v>
      </c>
      <c r="T63" s="21"/>
    </row>
    <row r="64" spans="1:20" ht="43.5" customHeight="1" thickBot="1">
      <c r="A64" s="7"/>
      <c r="B64" s="1155"/>
      <c r="C64" s="628" t="s">
        <v>737</v>
      </c>
      <c r="D64" s="220" t="s">
        <v>262</v>
      </c>
      <c r="E64" s="1088"/>
      <c r="F64" s="338">
        <v>1</v>
      </c>
      <c r="G64" s="232">
        <v>1</v>
      </c>
      <c r="H64" s="367">
        <f>(+G64/F64)*100</f>
        <v>100</v>
      </c>
      <c r="I64" s="339"/>
      <c r="J64" s="338">
        <v>1</v>
      </c>
      <c r="K64" s="338">
        <v>1</v>
      </c>
      <c r="L64" s="367">
        <f>(+K64/J64)*100</f>
        <v>100</v>
      </c>
      <c r="M64" s="1135"/>
      <c r="N64" s="1138"/>
      <c r="O64" s="1157"/>
      <c r="P64" s="1152"/>
      <c r="Q64" s="1138"/>
      <c r="R64" s="1157"/>
      <c r="S64" s="1152"/>
      <c r="T64" s="63"/>
    </row>
    <row r="65" spans="1:20" ht="33.75" customHeight="1">
      <c r="A65" s="7"/>
      <c r="B65" s="1155"/>
      <c r="C65" s="628" t="s">
        <v>738</v>
      </c>
      <c r="D65" s="220" t="s">
        <v>262</v>
      </c>
      <c r="E65" s="1088"/>
      <c r="F65" s="338">
        <v>1</v>
      </c>
      <c r="G65" s="232">
        <v>1</v>
      </c>
      <c r="H65" s="367">
        <f>(+G65/F65)*100</f>
        <v>100</v>
      </c>
      <c r="I65" s="339"/>
      <c r="J65" s="338">
        <v>1</v>
      </c>
      <c r="K65" s="338">
        <v>1</v>
      </c>
      <c r="L65" s="367">
        <f>(+K65/J65)*100</f>
        <v>100</v>
      </c>
      <c r="M65" s="1135"/>
      <c r="N65" s="1138"/>
      <c r="O65" s="1157"/>
      <c r="P65" s="1152"/>
      <c r="Q65" s="1138"/>
      <c r="R65" s="1157"/>
      <c r="S65" s="1152"/>
      <c r="T65" s="63"/>
    </row>
    <row r="66" spans="1:20" ht="85.5" customHeight="1">
      <c r="A66" s="7"/>
      <c r="B66" s="1155"/>
      <c r="C66" s="331" t="s">
        <v>538</v>
      </c>
      <c r="D66" s="606" t="s">
        <v>262</v>
      </c>
      <c r="E66" s="1176" t="s">
        <v>428</v>
      </c>
      <c r="F66" s="266" t="s">
        <v>623</v>
      </c>
      <c r="G66" s="62" t="s">
        <v>623</v>
      </c>
      <c r="H66" s="62" t="s">
        <v>623</v>
      </c>
      <c r="I66" s="323"/>
      <c r="J66" s="327">
        <v>2</v>
      </c>
      <c r="K66" s="327">
        <v>2</v>
      </c>
      <c r="L66" s="295">
        <v>100</v>
      </c>
      <c r="M66" s="1135"/>
      <c r="N66" s="1138"/>
      <c r="O66" s="1157"/>
      <c r="P66" s="1152"/>
      <c r="Q66" s="1138"/>
      <c r="R66" s="1157"/>
      <c r="S66" s="1152"/>
      <c r="T66" s="63"/>
    </row>
    <row r="67" spans="1:20" ht="105.75" customHeight="1">
      <c r="A67" s="7"/>
      <c r="B67" s="1155"/>
      <c r="C67" s="332" t="s">
        <v>539</v>
      </c>
      <c r="D67" s="606" t="s">
        <v>265</v>
      </c>
      <c r="E67" s="1176"/>
      <c r="F67" s="266" t="s">
        <v>623</v>
      </c>
      <c r="G67" s="62" t="s">
        <v>623</v>
      </c>
      <c r="H67" s="62" t="s">
        <v>623</v>
      </c>
      <c r="I67" s="323"/>
      <c r="J67" s="324">
        <v>20</v>
      </c>
      <c r="K67" s="326">
        <v>20</v>
      </c>
      <c r="L67" s="328">
        <v>100</v>
      </c>
      <c r="M67" s="1135"/>
      <c r="N67" s="1138"/>
      <c r="O67" s="1157"/>
      <c r="P67" s="1152"/>
      <c r="Q67" s="1138"/>
      <c r="R67" s="1157"/>
      <c r="S67" s="1152"/>
      <c r="T67" s="63"/>
    </row>
    <row r="68" spans="1:20" ht="35.25" customHeight="1">
      <c r="A68" s="7"/>
      <c r="B68" s="1155"/>
      <c r="C68" s="313" t="s">
        <v>212</v>
      </c>
      <c r="D68" s="314" t="s">
        <v>213</v>
      </c>
      <c r="E68" s="1176"/>
      <c r="F68" s="266" t="s">
        <v>623</v>
      </c>
      <c r="G68" s="62" t="s">
        <v>623</v>
      </c>
      <c r="H68" s="62" t="s">
        <v>623</v>
      </c>
      <c r="I68" s="323"/>
      <c r="J68" s="324">
        <v>100</v>
      </c>
      <c r="K68" s="340">
        <v>100</v>
      </c>
      <c r="L68" s="328">
        <f>(+K68/J68)*100</f>
        <v>100</v>
      </c>
      <c r="M68" s="1135"/>
      <c r="N68" s="1138"/>
      <c r="O68" s="1157"/>
      <c r="P68" s="1152"/>
      <c r="Q68" s="1138"/>
      <c r="R68" s="1157"/>
      <c r="S68" s="1152"/>
      <c r="T68" s="63"/>
    </row>
    <row r="69" spans="1:20" ht="38.25" customHeight="1">
      <c r="A69" s="7"/>
      <c r="B69" s="1155"/>
      <c r="C69" s="313" t="s">
        <v>211</v>
      </c>
      <c r="D69" s="314" t="s">
        <v>214</v>
      </c>
      <c r="E69" s="1176"/>
      <c r="F69" s="266" t="s">
        <v>623</v>
      </c>
      <c r="G69" s="62" t="s">
        <v>623</v>
      </c>
      <c r="H69" s="62" t="s">
        <v>623</v>
      </c>
      <c r="I69" s="323"/>
      <c r="J69" s="324">
        <v>40</v>
      </c>
      <c r="K69" s="340">
        <v>40</v>
      </c>
      <c r="L69" s="328">
        <f>(+K69/J69)*100</f>
        <v>100</v>
      </c>
      <c r="M69" s="1135"/>
      <c r="N69" s="1138"/>
      <c r="O69" s="1157"/>
      <c r="P69" s="1152"/>
      <c r="Q69" s="1138"/>
      <c r="R69" s="1157"/>
      <c r="S69" s="1152"/>
      <c r="T69" s="22"/>
    </row>
    <row r="70" spans="1:20" ht="54">
      <c r="A70" s="7"/>
      <c r="B70" s="1155"/>
      <c r="C70" s="313" t="s">
        <v>215</v>
      </c>
      <c r="D70" s="314" t="s">
        <v>216</v>
      </c>
      <c r="E70" s="1176"/>
      <c r="F70" s="266" t="s">
        <v>623</v>
      </c>
      <c r="G70" s="62" t="s">
        <v>623</v>
      </c>
      <c r="H70" s="62" t="s">
        <v>623</v>
      </c>
      <c r="I70" s="325"/>
      <c r="J70" s="300">
        <v>100</v>
      </c>
      <c r="K70" s="326">
        <v>100</v>
      </c>
      <c r="L70" s="328">
        <f>(+K70/J70)*100</f>
        <v>100</v>
      </c>
      <c r="M70" s="1135"/>
      <c r="N70" s="1138"/>
      <c r="O70" s="1157"/>
      <c r="P70" s="1152"/>
      <c r="Q70" s="1138"/>
      <c r="R70" s="1157"/>
      <c r="S70" s="1152"/>
      <c r="T70" s="22"/>
    </row>
    <row r="71" spans="1:20" ht="34.5" customHeight="1">
      <c r="A71" s="7"/>
      <c r="B71" s="1155"/>
      <c r="C71" s="314" t="s">
        <v>16</v>
      </c>
      <c r="D71" s="314" t="s">
        <v>17</v>
      </c>
      <c r="E71" s="1176"/>
      <c r="F71" s="266" t="s">
        <v>623</v>
      </c>
      <c r="G71" s="62" t="s">
        <v>623</v>
      </c>
      <c r="H71" s="62" t="s">
        <v>623</v>
      </c>
      <c r="I71" s="323"/>
      <c r="J71" s="326">
        <v>100</v>
      </c>
      <c r="K71" s="340">
        <v>100</v>
      </c>
      <c r="L71" s="328">
        <v>100</v>
      </c>
      <c r="M71" s="1135"/>
      <c r="N71" s="1138"/>
      <c r="O71" s="1157"/>
      <c r="P71" s="1152"/>
      <c r="Q71" s="1138"/>
      <c r="R71" s="1157"/>
      <c r="S71" s="1152"/>
      <c r="T71" s="22"/>
    </row>
    <row r="72" spans="1:20" ht="34.5" customHeight="1">
      <c r="A72" s="7"/>
      <c r="B72" s="1155"/>
      <c r="C72" s="314" t="s">
        <v>210</v>
      </c>
      <c r="D72" s="314" t="s">
        <v>265</v>
      </c>
      <c r="E72" s="1176"/>
      <c r="F72" s="266" t="s">
        <v>623</v>
      </c>
      <c r="G72" s="62" t="s">
        <v>623</v>
      </c>
      <c r="H72" s="62" t="s">
        <v>623</v>
      </c>
      <c r="I72" s="323"/>
      <c r="J72" s="326">
        <v>100</v>
      </c>
      <c r="K72" s="340">
        <v>100</v>
      </c>
      <c r="L72" s="328">
        <f>(+K72/J72)*100</f>
        <v>100</v>
      </c>
      <c r="M72" s="1135"/>
      <c r="N72" s="1138"/>
      <c r="O72" s="1157"/>
      <c r="P72" s="1152"/>
      <c r="Q72" s="1138"/>
      <c r="R72" s="1157"/>
      <c r="S72" s="1152"/>
      <c r="T72" s="22"/>
    </row>
    <row r="73" spans="1:20" ht="40.5" customHeight="1">
      <c r="A73" s="7"/>
      <c r="B73" s="1155"/>
      <c r="C73" s="313" t="s">
        <v>209</v>
      </c>
      <c r="D73" s="314" t="s">
        <v>265</v>
      </c>
      <c r="E73" s="1176"/>
      <c r="F73" s="266" t="s">
        <v>623</v>
      </c>
      <c r="G73" s="62" t="s">
        <v>623</v>
      </c>
      <c r="H73" s="62" t="s">
        <v>623</v>
      </c>
      <c r="I73" s="323"/>
      <c r="J73" s="326">
        <v>100</v>
      </c>
      <c r="K73" s="340">
        <v>100</v>
      </c>
      <c r="L73" s="328">
        <f>(+K73/J73)*100</f>
        <v>100</v>
      </c>
      <c r="M73" s="1135"/>
      <c r="N73" s="1138"/>
      <c r="O73" s="1157"/>
      <c r="P73" s="1152"/>
      <c r="Q73" s="1138"/>
      <c r="R73" s="1157"/>
      <c r="S73" s="1152"/>
      <c r="T73" s="35"/>
    </row>
    <row r="74" spans="1:20" ht="21.75" customHeight="1">
      <c r="A74" s="7"/>
      <c r="B74" s="1155"/>
      <c r="C74" s="313" t="s">
        <v>18</v>
      </c>
      <c r="D74" s="314" t="s">
        <v>304</v>
      </c>
      <c r="E74" s="1176"/>
      <c r="F74" s="266" t="s">
        <v>623</v>
      </c>
      <c r="G74" s="62" t="s">
        <v>623</v>
      </c>
      <c r="H74" s="62" t="s">
        <v>623</v>
      </c>
      <c r="I74" s="323"/>
      <c r="J74" s="326">
        <v>1</v>
      </c>
      <c r="K74" s="340">
        <v>1</v>
      </c>
      <c r="L74" s="328">
        <f>(+K74/J74)*100</f>
        <v>100</v>
      </c>
      <c r="M74" s="1135"/>
      <c r="N74" s="1138"/>
      <c r="O74" s="1157"/>
      <c r="P74" s="1152"/>
      <c r="Q74" s="1138"/>
      <c r="R74" s="1157"/>
      <c r="S74" s="1152"/>
      <c r="T74" s="35"/>
    </row>
    <row r="75" spans="1:20" ht="30" customHeight="1">
      <c r="A75" s="7"/>
      <c r="B75" s="1155"/>
      <c r="C75" s="313" t="s">
        <v>19</v>
      </c>
      <c r="D75" s="314" t="s">
        <v>265</v>
      </c>
      <c r="E75" s="1176"/>
      <c r="F75" s="266" t="s">
        <v>623</v>
      </c>
      <c r="G75" s="62" t="s">
        <v>623</v>
      </c>
      <c r="H75" s="62" t="s">
        <v>623</v>
      </c>
      <c r="I75" s="323"/>
      <c r="J75" s="326">
        <v>100</v>
      </c>
      <c r="K75" s="340">
        <v>100</v>
      </c>
      <c r="L75" s="328">
        <f>(+K75/J75)*100</f>
        <v>100</v>
      </c>
      <c r="M75" s="1135"/>
      <c r="N75" s="1138"/>
      <c r="O75" s="1157"/>
      <c r="P75" s="1152"/>
      <c r="Q75" s="1138"/>
      <c r="R75" s="1157"/>
      <c r="S75" s="1152"/>
      <c r="T75" s="35"/>
    </row>
    <row r="76" spans="1:20" ht="23.25" customHeight="1">
      <c r="A76" s="7"/>
      <c r="B76" s="1155"/>
      <c r="C76" s="313" t="s">
        <v>15</v>
      </c>
      <c r="D76" s="314" t="s">
        <v>304</v>
      </c>
      <c r="E76" s="1176"/>
      <c r="F76" s="266" t="s">
        <v>623</v>
      </c>
      <c r="G76" s="62" t="s">
        <v>623</v>
      </c>
      <c r="H76" s="62" t="s">
        <v>623</v>
      </c>
      <c r="I76" s="323"/>
      <c r="J76" s="326">
        <v>1</v>
      </c>
      <c r="K76" s="340">
        <v>1</v>
      </c>
      <c r="L76" s="328">
        <v>100</v>
      </c>
      <c r="M76" s="1135"/>
      <c r="N76" s="1138"/>
      <c r="O76" s="1157"/>
      <c r="P76" s="1152"/>
      <c r="Q76" s="1138"/>
      <c r="R76" s="1157"/>
      <c r="S76" s="1152"/>
      <c r="T76" s="35"/>
    </row>
    <row r="77" spans="1:20" ht="20.25" customHeight="1" thickBot="1">
      <c r="A77" s="7"/>
      <c r="B77" s="1155"/>
      <c r="C77" s="333" t="s">
        <v>217</v>
      </c>
      <c r="D77" s="334" t="s">
        <v>68</v>
      </c>
      <c r="E77" s="1177"/>
      <c r="F77" s="312" t="s">
        <v>623</v>
      </c>
      <c r="G77" s="255" t="s">
        <v>623</v>
      </c>
      <c r="H77" s="255" t="s">
        <v>623</v>
      </c>
      <c r="I77" s="329"/>
      <c r="J77" s="330">
        <v>1</v>
      </c>
      <c r="K77" s="341">
        <v>1</v>
      </c>
      <c r="L77" s="342">
        <f>(+K77/J77)*100</f>
        <v>100</v>
      </c>
      <c r="M77" s="1135"/>
      <c r="N77" s="1138"/>
      <c r="O77" s="1157"/>
      <c r="P77" s="1152"/>
      <c r="Q77" s="1138"/>
      <c r="R77" s="1157"/>
      <c r="S77" s="1152"/>
      <c r="T77" s="35"/>
    </row>
    <row r="78" spans="1:20" ht="36.75" thickBot="1">
      <c r="A78" s="7"/>
      <c r="B78" s="1105"/>
      <c r="C78" s="258" t="s">
        <v>659</v>
      </c>
      <c r="D78" s="258"/>
      <c r="E78" s="68"/>
      <c r="F78" s="259">
        <v>300</v>
      </c>
      <c r="G78" s="260"/>
      <c r="H78" s="260">
        <f>SUM(H63:H77)</f>
        <v>300</v>
      </c>
      <c r="I78" s="248">
        <f>(+H78/F78)*100</f>
        <v>100</v>
      </c>
      <c r="J78" s="261">
        <v>1500</v>
      </c>
      <c r="K78" s="262"/>
      <c r="L78" s="298">
        <f>SUM(L63:L77)</f>
        <v>1500</v>
      </c>
      <c r="M78" s="1195"/>
      <c r="N78" s="1139"/>
      <c r="O78" s="1188"/>
      <c r="P78" s="1153"/>
      <c r="Q78" s="1139"/>
      <c r="R78" s="1188"/>
      <c r="S78" s="1153"/>
      <c r="T78" s="723">
        <f>(+L78/J78)*100</f>
        <v>100</v>
      </c>
    </row>
    <row r="79" spans="1:20" ht="38.25" customHeight="1" thickBot="1">
      <c r="A79" s="7"/>
      <c r="B79" s="923" t="s">
        <v>655</v>
      </c>
      <c r="C79" s="11"/>
      <c r="D79" s="874" t="s">
        <v>541</v>
      </c>
      <c r="E79" s="875"/>
      <c r="F79" s="875"/>
      <c r="G79" s="875"/>
      <c r="H79" s="875"/>
      <c r="I79" s="875"/>
      <c r="J79" s="875"/>
      <c r="K79" s="875"/>
      <c r="L79" s="875"/>
      <c r="M79" s="876"/>
      <c r="N79" s="874" t="s">
        <v>542</v>
      </c>
      <c r="O79" s="875"/>
      <c r="P79" s="875"/>
      <c r="Q79" s="875"/>
      <c r="R79" s="875"/>
      <c r="S79" s="875"/>
      <c r="T79" s="920" t="s">
        <v>269</v>
      </c>
    </row>
    <row r="80" spans="1:20" ht="363" customHeight="1" thickBot="1">
      <c r="A80" s="7"/>
      <c r="B80" s="924"/>
      <c r="C80" s="12" t="s">
        <v>439</v>
      </c>
      <c r="D80" s="12" t="s">
        <v>307</v>
      </c>
      <c r="E80" s="12" t="s">
        <v>294</v>
      </c>
      <c r="F80" s="14" t="s">
        <v>271</v>
      </c>
      <c r="G80" s="14" t="s">
        <v>272</v>
      </c>
      <c r="H80" s="15" t="s">
        <v>284</v>
      </c>
      <c r="I80" s="14" t="s">
        <v>285</v>
      </c>
      <c r="J80" s="14" t="s">
        <v>650</v>
      </c>
      <c r="K80" s="14" t="s">
        <v>286</v>
      </c>
      <c r="L80" s="16" t="s">
        <v>287</v>
      </c>
      <c r="M80" s="14" t="s">
        <v>288</v>
      </c>
      <c r="N80" s="14" t="s">
        <v>270</v>
      </c>
      <c r="O80" s="15" t="s">
        <v>289</v>
      </c>
      <c r="P80" s="14" t="s">
        <v>290</v>
      </c>
      <c r="Q80" s="14" t="s">
        <v>696</v>
      </c>
      <c r="R80" s="15" t="s">
        <v>291</v>
      </c>
      <c r="S80" s="16" t="s">
        <v>292</v>
      </c>
      <c r="T80" s="921"/>
    </row>
    <row r="81" spans="1:20" ht="18" customHeight="1" thickBot="1">
      <c r="A81" s="7"/>
      <c r="B81" s="1120" t="s">
        <v>425</v>
      </c>
      <c r="C81" s="1032"/>
      <c r="D81" s="1032"/>
      <c r="E81" s="1032"/>
      <c r="F81" s="1032"/>
      <c r="G81" s="1032"/>
      <c r="H81" s="1032"/>
      <c r="I81" s="1032"/>
      <c r="J81" s="1032"/>
      <c r="K81" s="1032"/>
      <c r="L81" s="1032"/>
      <c r="M81" s="1032"/>
      <c r="N81" s="1032"/>
      <c r="O81" s="1032"/>
      <c r="P81" s="1032"/>
      <c r="Q81" s="1032"/>
      <c r="R81" s="1032"/>
      <c r="S81" s="1032"/>
      <c r="T81" s="1121"/>
    </row>
    <row r="82" spans="1:20" ht="42.75" customHeight="1">
      <c r="A82" s="7"/>
      <c r="B82" s="1103" t="s">
        <v>376</v>
      </c>
      <c r="C82" s="401" t="s">
        <v>740</v>
      </c>
      <c r="D82" s="402" t="s">
        <v>262</v>
      </c>
      <c r="E82" s="404" t="s">
        <v>428</v>
      </c>
      <c r="F82" s="609">
        <v>1</v>
      </c>
      <c r="G82" s="609">
        <v>1</v>
      </c>
      <c r="H82" s="609">
        <f aca="true" t="shared" si="6" ref="H82:H87">(+G82/F82)*100</f>
        <v>100</v>
      </c>
      <c r="I82" s="357"/>
      <c r="J82" s="609">
        <v>1</v>
      </c>
      <c r="K82" s="609">
        <v>1</v>
      </c>
      <c r="L82" s="609">
        <f aca="true" t="shared" si="7" ref="L82:L88">(+K82/J82)*100</f>
        <v>100</v>
      </c>
      <c r="M82" s="1128">
        <v>20</v>
      </c>
      <c r="N82" s="1130">
        <v>785129000</v>
      </c>
      <c r="O82" s="1189">
        <v>725019099</v>
      </c>
      <c r="P82" s="1196">
        <f>(+O82/N82)*100</f>
        <v>92.34394589933629</v>
      </c>
      <c r="Q82" s="1130">
        <f>(1300000000+500000000+500000000+450000000+N82)</f>
        <v>3535129000</v>
      </c>
      <c r="R82" s="1189">
        <f>(657979791+687448268+351335364+O82+584585308+461839364)</f>
        <v>3468207194</v>
      </c>
      <c r="S82" s="1196">
        <f>(+R82/Q82)*100</f>
        <v>98.10694868560667</v>
      </c>
      <c r="T82" s="1191"/>
    </row>
    <row r="83" spans="1:20" ht="54" customHeight="1">
      <c r="A83" s="7"/>
      <c r="B83" s="1104"/>
      <c r="C83" s="613" t="s">
        <v>741</v>
      </c>
      <c r="D83" s="613" t="s">
        <v>265</v>
      </c>
      <c r="E83" s="617" t="s">
        <v>742</v>
      </c>
      <c r="F83" s="198">
        <v>1</v>
      </c>
      <c r="G83" s="347">
        <v>1</v>
      </c>
      <c r="H83" s="609">
        <f t="shared" si="6"/>
        <v>100</v>
      </c>
      <c r="I83" s="358"/>
      <c r="J83" s="198">
        <v>1</v>
      </c>
      <c r="K83" s="347">
        <v>1</v>
      </c>
      <c r="L83" s="609">
        <f t="shared" si="7"/>
        <v>100</v>
      </c>
      <c r="M83" s="1129"/>
      <c r="N83" s="1131"/>
      <c r="O83" s="1190"/>
      <c r="P83" s="1197"/>
      <c r="Q83" s="1131"/>
      <c r="R83" s="1190"/>
      <c r="S83" s="1197"/>
      <c r="T83" s="1192"/>
    </row>
    <row r="84" spans="1:22" ht="35.25" customHeight="1">
      <c r="A84" s="7"/>
      <c r="B84" s="1104"/>
      <c r="C84" s="193" t="s">
        <v>747</v>
      </c>
      <c r="D84" s="613" t="s">
        <v>262</v>
      </c>
      <c r="E84" s="1147" t="s">
        <v>428</v>
      </c>
      <c r="F84" s="532">
        <v>1</v>
      </c>
      <c r="G84" s="347">
        <v>0.6</v>
      </c>
      <c r="H84" s="609">
        <f t="shared" si="6"/>
        <v>60</v>
      </c>
      <c r="I84" s="358"/>
      <c r="J84" s="532">
        <v>1</v>
      </c>
      <c r="K84" s="347">
        <v>0.6</v>
      </c>
      <c r="L84" s="609">
        <f t="shared" si="7"/>
        <v>60</v>
      </c>
      <c r="M84" s="1129"/>
      <c r="N84" s="1131"/>
      <c r="O84" s="1190"/>
      <c r="P84" s="1197"/>
      <c r="Q84" s="1131"/>
      <c r="R84" s="1190"/>
      <c r="S84" s="1197"/>
      <c r="T84" s="64"/>
      <c r="U84">
        <v>3535129000</v>
      </c>
      <c r="V84">
        <v>3468207194</v>
      </c>
    </row>
    <row r="85" spans="1:20" ht="50.25" customHeight="1">
      <c r="A85" s="7"/>
      <c r="B85" s="1104"/>
      <c r="C85" s="613" t="s">
        <v>743</v>
      </c>
      <c r="D85" s="403" t="s">
        <v>744</v>
      </c>
      <c r="E85" s="1147"/>
      <c r="F85" s="532">
        <v>100</v>
      </c>
      <c r="G85" s="347">
        <v>100</v>
      </c>
      <c r="H85" s="609">
        <f t="shared" si="6"/>
        <v>100</v>
      </c>
      <c r="I85" s="358"/>
      <c r="J85" s="532">
        <v>100</v>
      </c>
      <c r="K85" s="347">
        <v>100</v>
      </c>
      <c r="L85" s="609">
        <f t="shared" si="7"/>
        <v>100</v>
      </c>
      <c r="M85" s="1129"/>
      <c r="N85" s="1131"/>
      <c r="O85" s="1190"/>
      <c r="P85" s="1197"/>
      <c r="Q85" s="1131"/>
      <c r="R85" s="1190"/>
      <c r="S85" s="1197"/>
      <c r="T85" s="64"/>
    </row>
    <row r="86" spans="1:20" ht="48" customHeight="1">
      <c r="A86" s="7"/>
      <c r="B86" s="1104"/>
      <c r="C86" s="613" t="s">
        <v>745</v>
      </c>
      <c r="D86" s="613" t="s">
        <v>327</v>
      </c>
      <c r="E86" s="1147"/>
      <c r="F86" s="532">
        <v>1</v>
      </c>
      <c r="G86" s="347">
        <v>1</v>
      </c>
      <c r="H86" s="609">
        <f t="shared" si="6"/>
        <v>100</v>
      </c>
      <c r="I86" s="358"/>
      <c r="J86" s="532">
        <v>1</v>
      </c>
      <c r="K86" s="347">
        <v>1</v>
      </c>
      <c r="L86" s="609">
        <f t="shared" si="7"/>
        <v>100</v>
      </c>
      <c r="M86" s="1129"/>
      <c r="N86" s="1131"/>
      <c r="O86" s="1190"/>
      <c r="P86" s="1197"/>
      <c r="Q86" s="1131"/>
      <c r="R86" s="1190"/>
      <c r="S86" s="1197"/>
      <c r="T86" s="64"/>
    </row>
    <row r="87" spans="1:20" ht="54.75" customHeight="1">
      <c r="A87" s="7"/>
      <c r="B87" s="1104"/>
      <c r="C87" s="613" t="s">
        <v>746</v>
      </c>
      <c r="D87" s="613" t="s">
        <v>337</v>
      </c>
      <c r="E87" s="1147"/>
      <c r="F87" s="532">
        <v>1</v>
      </c>
      <c r="G87" s="347">
        <v>1</v>
      </c>
      <c r="H87" s="609">
        <f t="shared" si="6"/>
        <v>100</v>
      </c>
      <c r="I87" s="358"/>
      <c r="J87" s="532">
        <v>1</v>
      </c>
      <c r="K87" s="347">
        <v>1</v>
      </c>
      <c r="L87" s="609">
        <f t="shared" si="7"/>
        <v>100</v>
      </c>
      <c r="M87" s="1129"/>
      <c r="N87" s="1131"/>
      <c r="O87" s="1190"/>
      <c r="P87" s="1197"/>
      <c r="Q87" s="1131"/>
      <c r="R87" s="1190"/>
      <c r="S87" s="1197"/>
      <c r="T87" s="64"/>
    </row>
    <row r="88" spans="1:20" ht="50.25" customHeight="1">
      <c r="A88" s="7"/>
      <c r="B88" s="1104" t="s">
        <v>376</v>
      </c>
      <c r="C88" s="1132" t="s">
        <v>165</v>
      </c>
      <c r="D88" s="177" t="s">
        <v>166</v>
      </c>
      <c r="E88" s="614" t="s">
        <v>167</v>
      </c>
      <c r="F88" s="615" t="s">
        <v>56</v>
      </c>
      <c r="G88" s="618" t="s">
        <v>56</v>
      </c>
      <c r="H88" s="618" t="s">
        <v>56</v>
      </c>
      <c r="I88" s="1146"/>
      <c r="J88" s="1133">
        <v>4</v>
      </c>
      <c r="K88" s="1149">
        <v>4</v>
      </c>
      <c r="L88" s="926">
        <f t="shared" si="7"/>
        <v>100</v>
      </c>
      <c r="M88" s="727"/>
      <c r="N88" s="735"/>
      <c r="O88" s="736"/>
      <c r="P88" s="737"/>
      <c r="Q88" s="735"/>
      <c r="R88" s="736"/>
      <c r="S88" s="737"/>
      <c r="T88" s="64"/>
    </row>
    <row r="89" spans="1:20" ht="50.25" customHeight="1">
      <c r="A89" s="7"/>
      <c r="B89" s="1104"/>
      <c r="C89" s="1132"/>
      <c r="D89" s="177" t="s">
        <v>166</v>
      </c>
      <c r="E89" s="614" t="s">
        <v>168</v>
      </c>
      <c r="F89" s="615" t="s">
        <v>56</v>
      </c>
      <c r="G89" s="618" t="s">
        <v>56</v>
      </c>
      <c r="H89" s="618" t="s">
        <v>56</v>
      </c>
      <c r="I89" s="1146"/>
      <c r="J89" s="1133"/>
      <c r="K89" s="1149"/>
      <c r="L89" s="926"/>
      <c r="M89" s="727"/>
      <c r="N89" s="735"/>
      <c r="O89" s="736"/>
      <c r="P89" s="737"/>
      <c r="Q89" s="735"/>
      <c r="R89" s="736"/>
      <c r="S89" s="737"/>
      <c r="T89" s="64"/>
    </row>
    <row r="90" spans="1:20" ht="18" customHeight="1">
      <c r="A90" s="7"/>
      <c r="B90" s="1104"/>
      <c r="C90" s="612" t="s">
        <v>540</v>
      </c>
      <c r="D90" s="605" t="s">
        <v>262</v>
      </c>
      <c r="E90" s="614" t="s">
        <v>428</v>
      </c>
      <c r="F90" s="615" t="s">
        <v>56</v>
      </c>
      <c r="G90" s="618" t="s">
        <v>56</v>
      </c>
      <c r="H90" s="618" t="s">
        <v>56</v>
      </c>
      <c r="I90" s="616"/>
      <c r="J90" s="615">
        <v>1</v>
      </c>
      <c r="K90" s="618">
        <v>0</v>
      </c>
      <c r="L90" s="602">
        <v>0</v>
      </c>
      <c r="M90" s="727"/>
      <c r="N90" s="735"/>
      <c r="O90" s="736"/>
      <c r="P90" s="737"/>
      <c r="Q90" s="735"/>
      <c r="R90" s="736"/>
      <c r="S90" s="737"/>
      <c r="T90" s="64"/>
    </row>
    <row r="91" spans="1:20" ht="52.5" customHeight="1">
      <c r="A91" s="7"/>
      <c r="B91" s="1104"/>
      <c r="C91" s="177" t="s">
        <v>169</v>
      </c>
      <c r="D91" s="177" t="s">
        <v>192</v>
      </c>
      <c r="E91" s="614" t="s">
        <v>168</v>
      </c>
      <c r="F91" s="615" t="s">
        <v>56</v>
      </c>
      <c r="G91" s="618" t="s">
        <v>56</v>
      </c>
      <c r="H91" s="618" t="s">
        <v>56</v>
      </c>
      <c r="I91" s="377"/>
      <c r="J91" s="615">
        <v>9</v>
      </c>
      <c r="K91" s="618">
        <v>9</v>
      </c>
      <c r="L91" s="109">
        <f>(+K91/J91)*100</f>
        <v>100</v>
      </c>
      <c r="M91" s="727"/>
      <c r="N91" s="735"/>
      <c r="O91" s="736"/>
      <c r="P91" s="737"/>
      <c r="Q91" s="735"/>
      <c r="R91" s="736"/>
      <c r="S91" s="737"/>
      <c r="T91" s="22"/>
    </row>
    <row r="92" spans="1:20" ht="33" customHeight="1">
      <c r="A92" s="7"/>
      <c r="B92" s="1104"/>
      <c r="C92" s="614" t="s">
        <v>170</v>
      </c>
      <c r="D92" s="177" t="s">
        <v>330</v>
      </c>
      <c r="E92" s="614" t="s">
        <v>329</v>
      </c>
      <c r="F92" s="615" t="s">
        <v>56</v>
      </c>
      <c r="G92" s="618" t="s">
        <v>56</v>
      </c>
      <c r="H92" s="618" t="s">
        <v>56</v>
      </c>
      <c r="I92" s="377"/>
      <c r="J92" s="615">
        <v>5</v>
      </c>
      <c r="K92" s="618">
        <v>32</v>
      </c>
      <c r="L92" s="109">
        <v>100</v>
      </c>
      <c r="M92" s="727"/>
      <c r="N92" s="735"/>
      <c r="O92" s="736"/>
      <c r="P92" s="737"/>
      <c r="Q92" s="735"/>
      <c r="R92" s="736"/>
      <c r="S92" s="737"/>
      <c r="T92" s="22"/>
    </row>
    <row r="93" spans="1:20" ht="13.5" customHeight="1">
      <c r="A93" s="7"/>
      <c r="B93" s="1104"/>
      <c r="C93" s="614" t="s">
        <v>14</v>
      </c>
      <c r="D93" s="177" t="s">
        <v>171</v>
      </c>
      <c r="E93" s="614" t="s">
        <v>172</v>
      </c>
      <c r="F93" s="615" t="s">
        <v>623</v>
      </c>
      <c r="G93" s="618" t="s">
        <v>623</v>
      </c>
      <c r="H93" s="599" t="s">
        <v>623</v>
      </c>
      <c r="I93" s="616"/>
      <c r="J93" s="615">
        <v>8</v>
      </c>
      <c r="K93" s="618">
        <v>21</v>
      </c>
      <c r="L93" s="109">
        <v>100</v>
      </c>
      <c r="M93" s="727"/>
      <c r="N93" s="735"/>
      <c r="O93" s="736"/>
      <c r="P93" s="737"/>
      <c r="Q93" s="735"/>
      <c r="R93" s="736"/>
      <c r="S93" s="737"/>
      <c r="T93" s="19"/>
    </row>
    <row r="94" spans="1:20" ht="33.75" customHeight="1">
      <c r="A94" s="7"/>
      <c r="B94" s="1104"/>
      <c r="C94" s="614" t="s">
        <v>173</v>
      </c>
      <c r="D94" s="1132" t="s">
        <v>193</v>
      </c>
      <c r="E94" s="1132" t="s">
        <v>428</v>
      </c>
      <c r="F94" s="615" t="s">
        <v>56</v>
      </c>
      <c r="G94" s="618" t="s">
        <v>56</v>
      </c>
      <c r="H94" s="599" t="s">
        <v>56</v>
      </c>
      <c r="I94" s="616"/>
      <c r="J94" s="615">
        <v>1</v>
      </c>
      <c r="K94" s="618">
        <v>1</v>
      </c>
      <c r="L94" s="109">
        <f aca="true" t="shared" si="8" ref="L94:L110">(+K94/J94)*100</f>
        <v>100</v>
      </c>
      <c r="M94" s="727"/>
      <c r="N94" s="735"/>
      <c r="O94" s="736"/>
      <c r="P94" s="737"/>
      <c r="Q94" s="735"/>
      <c r="R94" s="736"/>
      <c r="S94" s="737"/>
      <c r="T94" s="22"/>
    </row>
    <row r="95" spans="1:20" ht="23.25" customHeight="1">
      <c r="A95" s="7"/>
      <c r="B95" s="1104"/>
      <c r="C95" s="614" t="s">
        <v>174</v>
      </c>
      <c r="D95" s="1132"/>
      <c r="E95" s="1132"/>
      <c r="F95" s="615" t="s">
        <v>56</v>
      </c>
      <c r="G95" s="618" t="s">
        <v>56</v>
      </c>
      <c r="H95" s="599" t="s">
        <v>56</v>
      </c>
      <c r="I95" s="616"/>
      <c r="J95" s="615">
        <v>1</v>
      </c>
      <c r="K95" s="618">
        <v>1</v>
      </c>
      <c r="L95" s="109">
        <f t="shared" si="8"/>
        <v>100</v>
      </c>
      <c r="M95" s="727"/>
      <c r="N95" s="735"/>
      <c r="O95" s="736"/>
      <c r="P95" s="737"/>
      <c r="Q95" s="735"/>
      <c r="R95" s="736"/>
      <c r="S95" s="737"/>
      <c r="T95" s="22"/>
    </row>
    <row r="96" spans="1:20" ht="31.5" customHeight="1">
      <c r="A96" s="7"/>
      <c r="B96" s="1104"/>
      <c r="C96" s="614" t="s">
        <v>175</v>
      </c>
      <c r="D96" s="614" t="s">
        <v>331</v>
      </c>
      <c r="E96" s="1132"/>
      <c r="F96" s="615" t="s">
        <v>56</v>
      </c>
      <c r="G96" s="618" t="s">
        <v>56</v>
      </c>
      <c r="H96" s="599" t="s">
        <v>56</v>
      </c>
      <c r="I96" s="616"/>
      <c r="J96" s="615">
        <v>1</v>
      </c>
      <c r="K96" s="618">
        <v>1</v>
      </c>
      <c r="L96" s="109">
        <f t="shared" si="8"/>
        <v>100</v>
      </c>
      <c r="M96" s="727"/>
      <c r="N96" s="735"/>
      <c r="O96" s="736"/>
      <c r="P96" s="737"/>
      <c r="Q96" s="735"/>
      <c r="R96" s="736"/>
      <c r="S96" s="737"/>
      <c r="T96" s="22"/>
    </row>
    <row r="97" spans="1:20" ht="30.75" customHeight="1">
      <c r="A97" s="7"/>
      <c r="B97" s="1104"/>
      <c r="C97" s="614" t="s">
        <v>176</v>
      </c>
      <c r="D97" s="614" t="s">
        <v>332</v>
      </c>
      <c r="E97" s="1132"/>
      <c r="F97" s="615" t="s">
        <v>56</v>
      </c>
      <c r="G97" s="618" t="s">
        <v>56</v>
      </c>
      <c r="H97" s="599" t="s">
        <v>56</v>
      </c>
      <c r="I97" s="616"/>
      <c r="J97" s="615">
        <v>1</v>
      </c>
      <c r="K97" s="618">
        <v>0</v>
      </c>
      <c r="L97" s="109">
        <f t="shared" si="8"/>
        <v>0</v>
      </c>
      <c r="M97" s="727"/>
      <c r="N97" s="735"/>
      <c r="O97" s="736"/>
      <c r="P97" s="737"/>
      <c r="Q97" s="735"/>
      <c r="R97" s="736"/>
      <c r="S97" s="737"/>
      <c r="T97" s="22"/>
    </row>
    <row r="98" spans="1:20" ht="15" customHeight="1">
      <c r="A98" s="7"/>
      <c r="B98" s="1104"/>
      <c r="C98" s="614" t="s">
        <v>177</v>
      </c>
      <c r="D98" s="614" t="s">
        <v>178</v>
      </c>
      <c r="E98" s="1132"/>
      <c r="F98" s="615" t="s">
        <v>56</v>
      </c>
      <c r="G98" s="618" t="s">
        <v>56</v>
      </c>
      <c r="H98" s="599" t="s">
        <v>56</v>
      </c>
      <c r="I98" s="616"/>
      <c r="J98" s="615">
        <v>54</v>
      </c>
      <c r="K98" s="618">
        <v>54</v>
      </c>
      <c r="L98" s="109">
        <f t="shared" si="8"/>
        <v>100</v>
      </c>
      <c r="M98" s="727"/>
      <c r="N98" s="735"/>
      <c r="O98" s="736"/>
      <c r="P98" s="737"/>
      <c r="Q98" s="735"/>
      <c r="R98" s="736"/>
      <c r="S98" s="737"/>
      <c r="T98" s="22"/>
    </row>
    <row r="99" spans="1:20" ht="20.25" customHeight="1">
      <c r="A99" s="7"/>
      <c r="B99" s="1104"/>
      <c r="C99" s="177" t="s">
        <v>179</v>
      </c>
      <c r="D99" s="614" t="s">
        <v>315</v>
      </c>
      <c r="E99" s="1132"/>
      <c r="F99" s="615" t="s">
        <v>56</v>
      </c>
      <c r="G99" s="618" t="s">
        <v>56</v>
      </c>
      <c r="H99" s="599" t="s">
        <v>56</v>
      </c>
      <c r="I99" s="616"/>
      <c r="J99" s="615">
        <v>104</v>
      </c>
      <c r="K99" s="618">
        <v>104</v>
      </c>
      <c r="L99" s="109">
        <f t="shared" si="8"/>
        <v>100</v>
      </c>
      <c r="M99" s="727"/>
      <c r="N99" s="735"/>
      <c r="O99" s="736"/>
      <c r="P99" s="737"/>
      <c r="Q99" s="735"/>
      <c r="R99" s="736"/>
      <c r="S99" s="737"/>
      <c r="T99" s="22"/>
    </row>
    <row r="100" spans="1:20" ht="36" customHeight="1">
      <c r="A100" s="7"/>
      <c r="B100" s="1104"/>
      <c r="C100" s="614" t="s">
        <v>180</v>
      </c>
      <c r="D100" s="614" t="s">
        <v>316</v>
      </c>
      <c r="E100" s="1132"/>
      <c r="F100" s="615" t="s">
        <v>56</v>
      </c>
      <c r="G100" s="618" t="s">
        <v>56</v>
      </c>
      <c r="H100" s="599" t="s">
        <v>56</v>
      </c>
      <c r="I100" s="616"/>
      <c r="J100" s="615">
        <v>100</v>
      </c>
      <c r="K100" s="618">
        <v>100</v>
      </c>
      <c r="L100" s="109">
        <f t="shared" si="8"/>
        <v>100</v>
      </c>
      <c r="M100" s="727"/>
      <c r="N100" s="735"/>
      <c r="O100" s="736"/>
      <c r="P100" s="737"/>
      <c r="Q100" s="735"/>
      <c r="R100" s="736"/>
      <c r="S100" s="737"/>
      <c r="T100" s="22"/>
    </row>
    <row r="101" spans="1:20" ht="33.75" customHeight="1">
      <c r="A101" s="7"/>
      <c r="B101" s="1104"/>
      <c r="C101" s="614" t="s">
        <v>181</v>
      </c>
      <c r="D101" s="614" t="s">
        <v>333</v>
      </c>
      <c r="E101" s="614" t="s">
        <v>182</v>
      </c>
      <c r="F101" s="615" t="s">
        <v>56</v>
      </c>
      <c r="G101" s="618" t="s">
        <v>56</v>
      </c>
      <c r="H101" s="599" t="s">
        <v>56</v>
      </c>
      <c r="I101" s="616"/>
      <c r="J101" s="615">
        <v>20</v>
      </c>
      <c r="K101" s="599">
        <v>20</v>
      </c>
      <c r="L101" s="109">
        <f t="shared" si="8"/>
        <v>100</v>
      </c>
      <c r="M101" s="727"/>
      <c r="N101" s="735"/>
      <c r="O101" s="736"/>
      <c r="P101" s="737"/>
      <c r="Q101" s="735"/>
      <c r="R101" s="736"/>
      <c r="S101" s="737"/>
      <c r="T101" s="22"/>
    </row>
    <row r="102" spans="1:20" ht="30.75" customHeight="1">
      <c r="A102" s="7"/>
      <c r="B102" s="1104"/>
      <c r="C102" s="614" t="s">
        <v>183</v>
      </c>
      <c r="D102" s="614" t="s">
        <v>317</v>
      </c>
      <c r="E102" s="614" t="s">
        <v>428</v>
      </c>
      <c r="F102" s="615" t="s">
        <v>56</v>
      </c>
      <c r="G102" s="618" t="s">
        <v>56</v>
      </c>
      <c r="H102" s="599" t="s">
        <v>56</v>
      </c>
      <c r="I102" s="616"/>
      <c r="J102" s="615">
        <v>3</v>
      </c>
      <c r="K102" s="618">
        <v>5</v>
      </c>
      <c r="L102" s="109">
        <v>100</v>
      </c>
      <c r="M102" s="727"/>
      <c r="N102" s="735"/>
      <c r="O102" s="736"/>
      <c r="P102" s="737"/>
      <c r="Q102" s="735"/>
      <c r="R102" s="736"/>
      <c r="S102" s="737"/>
      <c r="T102" s="22"/>
    </row>
    <row r="103" spans="1:20" ht="46.5" customHeight="1">
      <c r="A103" s="7"/>
      <c r="B103" s="1104"/>
      <c r="C103" s="614" t="s">
        <v>739</v>
      </c>
      <c r="D103" s="614" t="s">
        <v>184</v>
      </c>
      <c r="E103" s="614" t="s">
        <v>428</v>
      </c>
      <c r="F103" s="615" t="s">
        <v>56</v>
      </c>
      <c r="G103" s="618" t="s">
        <v>56</v>
      </c>
      <c r="H103" s="599" t="s">
        <v>56</v>
      </c>
      <c r="I103" s="616"/>
      <c r="J103" s="615">
        <v>20</v>
      </c>
      <c r="K103" s="618">
        <v>20</v>
      </c>
      <c r="L103" s="109">
        <f t="shared" si="8"/>
        <v>100</v>
      </c>
      <c r="M103" s="727"/>
      <c r="N103" s="735"/>
      <c r="O103" s="736"/>
      <c r="P103" s="737"/>
      <c r="Q103" s="735"/>
      <c r="R103" s="736"/>
      <c r="S103" s="737"/>
      <c r="T103" s="22"/>
    </row>
    <row r="104" spans="1:20" ht="18.75" customHeight="1">
      <c r="A104" s="7"/>
      <c r="B104" s="1104"/>
      <c r="C104" s="614" t="s">
        <v>318</v>
      </c>
      <c r="D104" s="614" t="s">
        <v>318</v>
      </c>
      <c r="E104" s="1132" t="s">
        <v>428</v>
      </c>
      <c r="F104" s="615" t="s">
        <v>56</v>
      </c>
      <c r="G104" s="618" t="s">
        <v>56</v>
      </c>
      <c r="H104" s="599" t="s">
        <v>56</v>
      </c>
      <c r="I104" s="616"/>
      <c r="J104" s="615">
        <v>10</v>
      </c>
      <c r="K104" s="618">
        <v>10</v>
      </c>
      <c r="L104" s="109">
        <f t="shared" si="8"/>
        <v>100</v>
      </c>
      <c r="M104" s="727"/>
      <c r="N104" s="735"/>
      <c r="O104" s="736"/>
      <c r="P104" s="737"/>
      <c r="Q104" s="735"/>
      <c r="R104" s="736"/>
      <c r="S104" s="737"/>
      <c r="T104" s="22"/>
    </row>
    <row r="105" spans="1:20" ht="33" customHeight="1">
      <c r="A105" s="7"/>
      <c r="B105" s="1104"/>
      <c r="C105" s="614" t="s">
        <v>185</v>
      </c>
      <c r="D105" s="614" t="s">
        <v>334</v>
      </c>
      <c r="E105" s="1132"/>
      <c r="F105" s="615" t="s">
        <v>56</v>
      </c>
      <c r="G105" s="618" t="s">
        <v>56</v>
      </c>
      <c r="H105" s="599" t="s">
        <v>56</v>
      </c>
      <c r="I105" s="616"/>
      <c r="J105" s="615">
        <v>4</v>
      </c>
      <c r="K105" s="618">
        <v>5</v>
      </c>
      <c r="L105" s="109">
        <v>100</v>
      </c>
      <c r="M105" s="727"/>
      <c r="N105" s="735"/>
      <c r="O105" s="736"/>
      <c r="P105" s="737"/>
      <c r="Q105" s="735"/>
      <c r="R105" s="736"/>
      <c r="S105" s="737"/>
      <c r="T105" s="22"/>
    </row>
    <row r="106" spans="1:20" ht="30" customHeight="1">
      <c r="A106" s="7"/>
      <c r="B106" s="1104"/>
      <c r="C106" s="614" t="s">
        <v>186</v>
      </c>
      <c r="D106" s="614" t="s">
        <v>335</v>
      </c>
      <c r="E106" s="1132" t="s">
        <v>428</v>
      </c>
      <c r="F106" s="615" t="s">
        <v>56</v>
      </c>
      <c r="G106" s="618" t="s">
        <v>56</v>
      </c>
      <c r="H106" s="618" t="s">
        <v>56</v>
      </c>
      <c r="I106" s="616"/>
      <c r="J106" s="615">
        <v>9</v>
      </c>
      <c r="K106" s="618">
        <v>9</v>
      </c>
      <c r="L106" s="109">
        <f t="shared" si="8"/>
        <v>100</v>
      </c>
      <c r="M106" s="727"/>
      <c r="N106" s="735"/>
      <c r="O106" s="736"/>
      <c r="P106" s="737"/>
      <c r="Q106" s="735"/>
      <c r="R106" s="736"/>
      <c r="S106" s="737"/>
      <c r="T106" s="22"/>
    </row>
    <row r="107" spans="1:20" ht="35.25" customHeight="1">
      <c r="A107" s="7"/>
      <c r="B107" s="1104"/>
      <c r="C107" s="614" t="s">
        <v>187</v>
      </c>
      <c r="D107" s="614" t="s">
        <v>429</v>
      </c>
      <c r="E107" s="1132"/>
      <c r="F107" s="615" t="s">
        <v>56</v>
      </c>
      <c r="G107" s="618" t="s">
        <v>56</v>
      </c>
      <c r="H107" s="599" t="s">
        <v>56</v>
      </c>
      <c r="I107" s="616"/>
      <c r="J107" s="615">
        <v>5</v>
      </c>
      <c r="K107" s="618">
        <v>5</v>
      </c>
      <c r="L107" s="109">
        <f t="shared" si="8"/>
        <v>100</v>
      </c>
      <c r="M107" s="727"/>
      <c r="N107" s="735"/>
      <c r="O107" s="736"/>
      <c r="P107" s="737"/>
      <c r="Q107" s="735"/>
      <c r="R107" s="736"/>
      <c r="S107" s="737"/>
      <c r="T107" s="22"/>
    </row>
    <row r="108" spans="1:20" ht="40.5" customHeight="1">
      <c r="A108" s="7"/>
      <c r="B108" s="1104"/>
      <c r="C108" s="614" t="s">
        <v>188</v>
      </c>
      <c r="D108" s="614" t="s">
        <v>336</v>
      </c>
      <c r="E108" s="607" t="s">
        <v>339</v>
      </c>
      <c r="F108" s="615" t="s">
        <v>56</v>
      </c>
      <c r="G108" s="618" t="s">
        <v>56</v>
      </c>
      <c r="H108" s="618" t="s">
        <v>56</v>
      </c>
      <c r="I108" s="616"/>
      <c r="J108" s="615">
        <v>2</v>
      </c>
      <c r="K108" s="618">
        <v>2</v>
      </c>
      <c r="L108" s="109">
        <f t="shared" si="8"/>
        <v>100</v>
      </c>
      <c r="M108" s="727"/>
      <c r="N108" s="735"/>
      <c r="O108" s="736"/>
      <c r="P108" s="737"/>
      <c r="Q108" s="735"/>
      <c r="R108" s="736"/>
      <c r="S108" s="737"/>
      <c r="T108" s="22"/>
    </row>
    <row r="109" spans="1:20" ht="24.75" customHeight="1">
      <c r="A109" s="7"/>
      <c r="B109" s="1104"/>
      <c r="C109" s="614" t="s">
        <v>189</v>
      </c>
      <c r="D109" s="614" t="s">
        <v>262</v>
      </c>
      <c r="E109" s="607"/>
      <c r="F109" s="615" t="s">
        <v>56</v>
      </c>
      <c r="G109" s="618" t="s">
        <v>56</v>
      </c>
      <c r="H109" s="618" t="s">
        <v>56</v>
      </c>
      <c r="I109" s="616"/>
      <c r="J109" s="615">
        <v>4</v>
      </c>
      <c r="K109" s="618">
        <v>4</v>
      </c>
      <c r="L109" s="109">
        <f t="shared" si="8"/>
        <v>100</v>
      </c>
      <c r="M109" s="727"/>
      <c r="N109" s="735"/>
      <c r="O109" s="736"/>
      <c r="P109" s="737"/>
      <c r="Q109" s="735"/>
      <c r="R109" s="736"/>
      <c r="S109" s="737"/>
      <c r="T109" s="22"/>
    </row>
    <row r="110" spans="1:20" ht="39" customHeight="1">
      <c r="A110" s="7"/>
      <c r="B110" s="1104"/>
      <c r="C110" s="614" t="s">
        <v>190</v>
      </c>
      <c r="D110" s="614" t="s">
        <v>338</v>
      </c>
      <c r="E110" s="607"/>
      <c r="F110" s="615" t="s">
        <v>56</v>
      </c>
      <c r="G110" s="618" t="s">
        <v>56</v>
      </c>
      <c r="H110" s="618" t="s">
        <v>56</v>
      </c>
      <c r="I110" s="616"/>
      <c r="J110" s="615">
        <v>3</v>
      </c>
      <c r="K110" s="618">
        <v>3</v>
      </c>
      <c r="L110" s="109">
        <f t="shared" si="8"/>
        <v>100</v>
      </c>
      <c r="M110" s="727"/>
      <c r="N110" s="735"/>
      <c r="O110" s="736"/>
      <c r="P110" s="737"/>
      <c r="Q110" s="735"/>
      <c r="R110" s="736"/>
      <c r="S110" s="737"/>
      <c r="T110" s="22"/>
    </row>
    <row r="111" spans="1:20" ht="39" customHeight="1" thickBot="1">
      <c r="A111" s="7"/>
      <c r="B111" s="1104"/>
      <c r="C111" s="147" t="s">
        <v>191</v>
      </c>
      <c r="D111" s="147" t="s">
        <v>341</v>
      </c>
      <c r="E111" s="116"/>
      <c r="F111" s="405" t="s">
        <v>56</v>
      </c>
      <c r="G111" s="406" t="s">
        <v>56</v>
      </c>
      <c r="H111" s="406" t="s">
        <v>56</v>
      </c>
      <c r="I111" s="407"/>
      <c r="J111" s="405">
        <v>4</v>
      </c>
      <c r="K111" s="406">
        <v>4</v>
      </c>
      <c r="L111" s="118">
        <f>(+K111/J111)*100</f>
        <v>100</v>
      </c>
      <c r="M111" s="727"/>
      <c r="N111" s="735"/>
      <c r="O111" s="736"/>
      <c r="P111" s="737"/>
      <c r="Q111" s="735"/>
      <c r="R111" s="736"/>
      <c r="S111" s="737"/>
      <c r="T111" s="35"/>
    </row>
    <row r="112" spans="1:20" ht="35.25" customHeight="1" thickBot="1">
      <c r="A112" s="7"/>
      <c r="B112" s="1105"/>
      <c r="C112" s="258" t="s">
        <v>659</v>
      </c>
      <c r="D112" s="258"/>
      <c r="E112" s="68"/>
      <c r="F112" s="259">
        <v>600</v>
      </c>
      <c r="G112" s="260"/>
      <c r="H112" s="260">
        <f>SUM(H82:H111)</f>
        <v>560</v>
      </c>
      <c r="I112" s="248">
        <f>(+H112/F112)*100</f>
        <v>93.33333333333333</v>
      </c>
      <c r="J112" s="261">
        <v>2900</v>
      </c>
      <c r="K112" s="262"/>
      <c r="L112" s="263">
        <f>SUM(L82:L111)</f>
        <v>2660</v>
      </c>
      <c r="M112" s="731"/>
      <c r="N112" s="738"/>
      <c r="O112" s="739"/>
      <c r="P112" s="740"/>
      <c r="Q112" s="738"/>
      <c r="R112" s="739"/>
      <c r="S112" s="740"/>
      <c r="T112" s="723">
        <f>(+L112/J112)*100</f>
        <v>91.72413793103448</v>
      </c>
    </row>
    <row r="113" spans="1:20" ht="23.25" customHeight="1" thickBot="1">
      <c r="A113" s="7"/>
      <c r="B113" s="1031" t="s">
        <v>425</v>
      </c>
      <c r="C113" s="1032"/>
      <c r="D113" s="1032"/>
      <c r="E113" s="1032"/>
      <c r="F113" s="1032"/>
      <c r="G113" s="1032"/>
      <c r="H113" s="1032"/>
      <c r="I113" s="1032"/>
      <c r="J113" s="1032"/>
      <c r="K113" s="1032"/>
      <c r="L113" s="1032"/>
      <c r="M113" s="1033"/>
      <c r="N113" s="1033"/>
      <c r="O113" s="1033"/>
      <c r="P113" s="1033"/>
      <c r="Q113" s="1033"/>
      <c r="R113" s="1033"/>
      <c r="S113" s="1033"/>
      <c r="T113" s="1034"/>
    </row>
    <row r="114" spans="1:20" ht="111.75" customHeight="1" thickBot="1">
      <c r="A114" s="7"/>
      <c r="B114" s="1173" t="s">
        <v>377</v>
      </c>
      <c r="C114" s="345" t="s">
        <v>208</v>
      </c>
      <c r="D114" s="1140" t="s">
        <v>340</v>
      </c>
      <c r="E114" s="1143" t="s">
        <v>339</v>
      </c>
      <c r="F114" s="346">
        <v>2</v>
      </c>
      <c r="G114" s="305">
        <v>2</v>
      </c>
      <c r="H114" s="306">
        <v>100</v>
      </c>
      <c r="I114" s="355"/>
      <c r="J114" s="356">
        <v>14</v>
      </c>
      <c r="K114" s="305">
        <v>14</v>
      </c>
      <c r="L114" s="357">
        <f>(+K114/J114)*100</f>
        <v>100</v>
      </c>
      <c r="M114" s="1134">
        <v>15</v>
      </c>
      <c r="N114" s="1137">
        <v>100000000</v>
      </c>
      <c r="O114" s="1137">
        <v>76623906</v>
      </c>
      <c r="P114" s="1151">
        <f>(+O114/N114)*100</f>
        <v>76.62390599999999</v>
      </c>
      <c r="Q114" s="1137">
        <f>(10000000+100000000+100000000+120000000+N114)</f>
        <v>430000000</v>
      </c>
      <c r="R114" s="1137">
        <f>(0+49469688+66530240+O114+99000000+53549499)</f>
        <v>345173333</v>
      </c>
      <c r="S114" s="1151">
        <f>(+R114/Q114)*100</f>
        <v>80.27286813953488</v>
      </c>
      <c r="T114" s="21"/>
    </row>
    <row r="115" spans="1:20" ht="73.5" customHeight="1" thickBot="1" thickTop="1">
      <c r="A115" s="7"/>
      <c r="B115" s="1174"/>
      <c r="C115" s="348" t="s">
        <v>218</v>
      </c>
      <c r="D115" s="1141"/>
      <c r="E115" s="1144"/>
      <c r="F115" s="349">
        <v>1</v>
      </c>
      <c r="G115" s="303">
        <v>1</v>
      </c>
      <c r="H115" s="304">
        <v>100</v>
      </c>
      <c r="I115" s="347"/>
      <c r="J115" s="354">
        <v>6</v>
      </c>
      <c r="K115" s="303">
        <v>6</v>
      </c>
      <c r="L115" s="358">
        <f>(+K115/J115)*100</f>
        <v>100</v>
      </c>
      <c r="M115" s="1135"/>
      <c r="N115" s="1138"/>
      <c r="O115" s="1138"/>
      <c r="P115" s="1152"/>
      <c r="Q115" s="1138"/>
      <c r="R115" s="1138"/>
      <c r="S115" s="1152"/>
      <c r="T115" s="22"/>
    </row>
    <row r="116" spans="1:20" ht="84.75" customHeight="1" thickBot="1" thickTop="1">
      <c r="A116" s="7"/>
      <c r="B116" s="1175"/>
      <c r="C116" s="350" t="s">
        <v>219</v>
      </c>
      <c r="D116" s="1142"/>
      <c r="E116" s="1145"/>
      <c r="F116" s="351">
        <v>1</v>
      </c>
      <c r="G116" s="303">
        <v>1</v>
      </c>
      <c r="H116" s="359">
        <v>100</v>
      </c>
      <c r="I116" s="360"/>
      <c r="J116" s="361">
        <v>6</v>
      </c>
      <c r="K116" s="352">
        <v>6</v>
      </c>
      <c r="L116" s="362">
        <f>(+K116/J116)*100</f>
        <v>100</v>
      </c>
      <c r="M116" s="1136"/>
      <c r="N116" s="1139"/>
      <c r="O116" s="1139"/>
      <c r="P116" s="1153"/>
      <c r="Q116" s="1139"/>
      <c r="R116" s="1139"/>
      <c r="S116" s="1153"/>
      <c r="T116" s="23"/>
    </row>
    <row r="117" spans="2:20" ht="53.25" customHeight="1" thickBot="1">
      <c r="B117" s="706"/>
      <c r="C117" s="67" t="s">
        <v>659</v>
      </c>
      <c r="D117" s="67"/>
      <c r="E117" s="68"/>
      <c r="F117" s="724">
        <v>300</v>
      </c>
      <c r="G117" s="262"/>
      <c r="H117" s="262">
        <f>SUM(H114:H116)</f>
        <v>300</v>
      </c>
      <c r="I117" s="655">
        <f>(+H117/F117)*100</f>
        <v>100</v>
      </c>
      <c r="J117" s="261">
        <v>300</v>
      </c>
      <c r="K117" s="262"/>
      <c r="L117" s="725">
        <f>SUM(L114:L116)</f>
        <v>300</v>
      </c>
      <c r="M117" s="721"/>
      <c r="N117" s="713"/>
      <c r="O117" s="713"/>
      <c r="P117" s="713"/>
      <c r="Q117" s="713"/>
      <c r="R117" s="713"/>
      <c r="S117" s="722"/>
      <c r="T117" s="726">
        <f>(+L117/J117)*100</f>
        <v>100</v>
      </c>
    </row>
  </sheetData>
  <sheetProtection/>
  <mergeCells count="104">
    <mergeCell ref="S114:S116"/>
    <mergeCell ref="P114:P116"/>
    <mergeCell ref="R114:R116"/>
    <mergeCell ref="Q82:Q87"/>
    <mergeCell ref="R82:R87"/>
    <mergeCell ref="S82:S87"/>
    <mergeCell ref="E106:E107"/>
    <mergeCell ref="D94:D95"/>
    <mergeCell ref="R7:R23"/>
    <mergeCell ref="P82:P87"/>
    <mergeCell ref="Q114:Q116"/>
    <mergeCell ref="O63:O78"/>
    <mergeCell ref="Q63:Q78"/>
    <mergeCell ref="O53:O62"/>
    <mergeCell ref="P53:P62"/>
    <mergeCell ref="Q53:Q62"/>
    <mergeCell ref="E94:E100"/>
    <mergeCell ref="N4:S4"/>
    <mergeCell ref="O82:O87"/>
    <mergeCell ref="T82:T83"/>
    <mergeCell ref="B4:B5"/>
    <mergeCell ref="B53:B62"/>
    <mergeCell ref="M35:M52"/>
    <mergeCell ref="D79:M79"/>
    <mergeCell ref="M63:M78"/>
    <mergeCell ref="S35:S52"/>
    <mergeCell ref="O7:O23"/>
    <mergeCell ref="P7:P23"/>
    <mergeCell ref="Q7:Q23"/>
    <mergeCell ref="D4:M4"/>
    <mergeCell ref="R63:R78"/>
    <mergeCell ref="N79:S79"/>
    <mergeCell ref="Q35:Q52"/>
    <mergeCell ref="S53:S62"/>
    <mergeCell ref="S63:S78"/>
    <mergeCell ref="S7:S23"/>
    <mergeCell ref="B2:T2"/>
    <mergeCell ref="B3:T3"/>
    <mergeCell ref="B6:T6"/>
    <mergeCell ref="B34:T34"/>
    <mergeCell ref="M53:M62"/>
    <mergeCell ref="E26:E27"/>
    <mergeCell ref="I17:I19"/>
    <mergeCell ref="N35:N52"/>
    <mergeCell ref="N53:N62"/>
    <mergeCell ref="T4:T5"/>
    <mergeCell ref="B114:B116"/>
    <mergeCell ref="B79:B80"/>
    <mergeCell ref="H41:H42"/>
    <mergeCell ref="G41:G42"/>
    <mergeCell ref="E66:E77"/>
    <mergeCell ref="D32:M32"/>
    <mergeCell ref="E56:E61"/>
    <mergeCell ref="E63:E65"/>
    <mergeCell ref="D43:D51"/>
    <mergeCell ref="E104:E105"/>
    <mergeCell ref="I7:I16"/>
    <mergeCell ref="E53:E55"/>
    <mergeCell ref="K41:K42"/>
    <mergeCell ref="E21:E22"/>
    <mergeCell ref="E7:E19"/>
    <mergeCell ref="C7:C19"/>
    <mergeCell ref="E45:E51"/>
    <mergeCell ref="D41:D42"/>
    <mergeCell ref="J41:J42"/>
    <mergeCell ref="B32:B33"/>
    <mergeCell ref="C28:C29"/>
    <mergeCell ref="T79:T80"/>
    <mergeCell ref="N63:N78"/>
    <mergeCell ref="P63:P78"/>
    <mergeCell ref="N32:S32"/>
    <mergeCell ref="B63:B78"/>
    <mergeCell ref="T32:T33"/>
    <mergeCell ref="R53:R62"/>
    <mergeCell ref="P35:P52"/>
    <mergeCell ref="E84:E87"/>
    <mergeCell ref="F41:F42"/>
    <mergeCell ref="E41:E42"/>
    <mergeCell ref="I41:I42"/>
    <mergeCell ref="K88:K89"/>
    <mergeCell ref="B81:T81"/>
    <mergeCell ref="O35:O52"/>
    <mergeCell ref="L41:L42"/>
    <mergeCell ref="R35:R52"/>
    <mergeCell ref="C88:C89"/>
    <mergeCell ref="L88:L89"/>
    <mergeCell ref="J88:J89"/>
    <mergeCell ref="M114:M116"/>
    <mergeCell ref="B113:T113"/>
    <mergeCell ref="O114:O116"/>
    <mergeCell ref="N114:N116"/>
    <mergeCell ref="D114:D116"/>
    <mergeCell ref="E114:E116"/>
    <mergeCell ref="I88:I89"/>
    <mergeCell ref="B82:B87"/>
    <mergeCell ref="B88:B112"/>
    <mergeCell ref="B7:B19"/>
    <mergeCell ref="B20:B31"/>
    <mergeCell ref="M7:M23"/>
    <mergeCell ref="N7:N23"/>
    <mergeCell ref="B35:B40"/>
    <mergeCell ref="B41:B52"/>
    <mergeCell ref="M82:M87"/>
    <mergeCell ref="N82:N87"/>
  </mergeCells>
  <printOptions horizontalCentered="1" verticalCentered="1"/>
  <pageMargins left="0.1968503937007874" right="0.1968503937007874" top="0.1968503937007874" bottom="0.1968503937007874" header="0.1968503937007874" footer="0"/>
  <pageSetup horizontalDpi="300" verticalDpi="300" orientation="landscape" scale="58" r:id="rId1"/>
  <rowBreaks count="7" manualBreakCount="7">
    <brk id="19" min="1" max="19" man="1"/>
    <brk id="31" max="255" man="1"/>
    <brk id="40" min="1" max="19" man="1"/>
    <brk id="62" min="1" max="19" man="1"/>
    <brk id="78" min="1" max="19" man="1"/>
    <brk id="87" min="1" max="19" man="1"/>
    <brk id="112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V65"/>
  <sheetViews>
    <sheetView view="pageBreakPreview" zoomScale="80" zoomScaleNormal="80" zoomScaleSheetLayoutView="80" zoomScalePageLayoutView="0" workbookViewId="0" topLeftCell="B55">
      <selection activeCell="U55" sqref="U55:V56"/>
    </sheetView>
  </sheetViews>
  <sheetFormatPr defaultColWidth="11.421875" defaultRowHeight="12.75"/>
  <cols>
    <col min="1" max="1" width="5.140625" style="0" customWidth="1"/>
    <col min="2" max="2" width="22.7109375" style="0" customWidth="1"/>
    <col min="3" max="3" width="37.7109375" style="0" customWidth="1"/>
    <col min="4" max="4" width="34.00390625" style="0" customWidth="1"/>
    <col min="5" max="5" width="24.7109375" style="0" customWidth="1"/>
    <col min="6" max="6" width="6.57421875" style="0" customWidth="1"/>
    <col min="7" max="7" width="6.8515625" style="0" customWidth="1"/>
    <col min="8" max="8" width="6.28125" style="0" customWidth="1"/>
    <col min="9" max="9" width="7.421875" style="0" customWidth="1"/>
    <col min="10" max="10" width="6.8515625" style="0" customWidth="1"/>
    <col min="11" max="11" width="7.00390625" style="0" customWidth="1"/>
    <col min="12" max="12" width="5.8515625" style="0" customWidth="1"/>
    <col min="13" max="13" width="5.7109375" style="0" customWidth="1"/>
    <col min="14" max="14" width="4.421875" style="0" customWidth="1"/>
    <col min="15" max="15" width="6.8515625" style="0" customWidth="1"/>
    <col min="16" max="16" width="8.00390625" style="0" customWidth="1"/>
    <col min="17" max="17" width="4.421875" style="0" customWidth="1"/>
    <col min="18" max="18" width="3.57421875" style="0" customWidth="1"/>
    <col min="19" max="19" width="7.8515625" style="0" customWidth="1"/>
    <col min="20" max="20" width="7.28125" style="0" customWidth="1"/>
    <col min="21" max="22" width="12.00390625" style="0" bestFit="1" customWidth="1"/>
  </cols>
  <sheetData>
    <row r="1" spans="2:20" ht="13.5" customHeight="1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2:20" ht="30" customHeight="1" thickBot="1">
      <c r="B2" s="874" t="s">
        <v>646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6"/>
    </row>
    <row r="3" spans="2:20" ht="15" customHeight="1" thickBot="1">
      <c r="B3" s="874" t="s">
        <v>970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6"/>
    </row>
    <row r="4" spans="2:20" ht="15" customHeight="1" thickBot="1">
      <c r="B4" s="923" t="s">
        <v>655</v>
      </c>
      <c r="C4" s="11"/>
      <c r="D4" s="874" t="s">
        <v>541</v>
      </c>
      <c r="E4" s="875"/>
      <c r="F4" s="875"/>
      <c r="G4" s="875"/>
      <c r="H4" s="875"/>
      <c r="I4" s="875"/>
      <c r="J4" s="875"/>
      <c r="K4" s="875"/>
      <c r="L4" s="875"/>
      <c r="M4" s="876"/>
      <c r="N4" s="874" t="s">
        <v>542</v>
      </c>
      <c r="O4" s="875"/>
      <c r="P4" s="875"/>
      <c r="Q4" s="875"/>
      <c r="R4" s="875"/>
      <c r="S4" s="875"/>
      <c r="T4" s="920" t="s">
        <v>269</v>
      </c>
    </row>
    <row r="5" spans="2:20" ht="375" customHeight="1" thickBot="1">
      <c r="B5" s="924"/>
      <c r="C5" s="12" t="s">
        <v>439</v>
      </c>
      <c r="D5" s="12" t="s">
        <v>307</v>
      </c>
      <c r="E5" s="12" t="s">
        <v>294</v>
      </c>
      <c r="F5" s="14" t="s">
        <v>271</v>
      </c>
      <c r="G5" s="14" t="s">
        <v>272</v>
      </c>
      <c r="H5" s="15" t="s">
        <v>284</v>
      </c>
      <c r="I5" s="14" t="s">
        <v>285</v>
      </c>
      <c r="J5" s="14" t="s">
        <v>650</v>
      </c>
      <c r="K5" s="14" t="s">
        <v>286</v>
      </c>
      <c r="L5" s="16" t="s">
        <v>287</v>
      </c>
      <c r="M5" s="14" t="s">
        <v>668</v>
      </c>
      <c r="N5" s="14" t="s">
        <v>270</v>
      </c>
      <c r="O5" s="15" t="s">
        <v>289</v>
      </c>
      <c r="P5" s="14" t="s">
        <v>290</v>
      </c>
      <c r="Q5" s="14" t="s">
        <v>696</v>
      </c>
      <c r="R5" s="15" t="s">
        <v>291</v>
      </c>
      <c r="S5" s="16" t="s">
        <v>292</v>
      </c>
      <c r="T5" s="921"/>
    </row>
    <row r="6" spans="2:20" ht="26.25" customHeight="1" thickBot="1">
      <c r="B6" s="1031" t="s">
        <v>232</v>
      </c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3"/>
      <c r="N6" s="1033"/>
      <c r="O6" s="1033"/>
      <c r="P6" s="1033"/>
      <c r="Q6" s="1033"/>
      <c r="R6" s="1033"/>
      <c r="S6" s="1033"/>
      <c r="T6" s="1034"/>
    </row>
    <row r="7" spans="2:20" ht="20.25" customHeight="1" thickBot="1">
      <c r="B7" s="1217" t="s">
        <v>230</v>
      </c>
      <c r="C7" s="1213" t="s">
        <v>221</v>
      </c>
      <c r="D7" s="410" t="s">
        <v>312</v>
      </c>
      <c r="E7" s="1213" t="s">
        <v>761</v>
      </c>
      <c r="F7" s="763">
        <v>5</v>
      </c>
      <c r="G7" s="424">
        <v>2</v>
      </c>
      <c r="H7" s="533">
        <f>(+G7/F7)*100</f>
        <v>40</v>
      </c>
      <c r="I7" s="387"/>
      <c r="J7" s="535">
        <v>21</v>
      </c>
      <c r="K7" s="533">
        <v>21</v>
      </c>
      <c r="L7" s="387">
        <f>(+K7/J7)*100</f>
        <v>100</v>
      </c>
      <c r="M7" s="1223">
        <v>45</v>
      </c>
      <c r="N7" s="1207">
        <v>202016109</v>
      </c>
      <c r="O7" s="1207">
        <v>118822396</v>
      </c>
      <c r="P7" s="1214">
        <f>(+O7/N7)*100</f>
        <v>58.81827770477452</v>
      </c>
      <c r="Q7" s="1207">
        <f>(1010000000+118000000+200000000+200000000)</f>
        <v>1528000000</v>
      </c>
      <c r="R7" s="1207">
        <f>(317702210+147912749+64981330+O7+114333681+199927183)</f>
        <v>963679549</v>
      </c>
      <c r="S7" s="1214">
        <f>(+R7/Q7)*100</f>
        <v>63.06803331151832</v>
      </c>
      <c r="T7" s="758"/>
    </row>
    <row r="8" spans="2:20" ht="48" customHeight="1" thickBot="1">
      <c r="B8" s="1218"/>
      <c r="C8" s="1211"/>
      <c r="D8" s="614" t="s">
        <v>400</v>
      </c>
      <c r="E8" s="1211"/>
      <c r="F8" s="242" t="s">
        <v>56</v>
      </c>
      <c r="G8" s="601" t="s">
        <v>56</v>
      </c>
      <c r="H8" s="533">
        <v>0</v>
      </c>
      <c r="I8" s="603"/>
      <c r="J8" s="536">
        <v>60</v>
      </c>
      <c r="K8" s="601">
        <v>60</v>
      </c>
      <c r="L8" s="603">
        <f>(+K8/J8)*100</f>
        <v>100</v>
      </c>
      <c r="M8" s="1224"/>
      <c r="N8" s="1208"/>
      <c r="O8" s="1208"/>
      <c r="P8" s="1215"/>
      <c r="Q8" s="1208"/>
      <c r="R8" s="1208"/>
      <c r="S8" s="1215"/>
      <c r="T8" s="602"/>
    </row>
    <row r="9" spans="2:20" ht="30" customHeight="1" thickBot="1">
      <c r="B9" s="1218"/>
      <c r="C9" s="1211"/>
      <c r="D9" s="408" t="s">
        <v>402</v>
      </c>
      <c r="E9" s="1211"/>
      <c r="F9" s="537">
        <v>21</v>
      </c>
      <c r="G9" s="424">
        <v>21</v>
      </c>
      <c r="H9" s="533">
        <f aca="true" t="shared" si="0" ref="H9:H25">(+G9/F9)*100</f>
        <v>100</v>
      </c>
      <c r="I9" s="388"/>
      <c r="J9" s="534">
        <v>21</v>
      </c>
      <c r="K9" s="424">
        <v>21</v>
      </c>
      <c r="L9" s="388">
        <f>(+K9/J9)*100</f>
        <v>100</v>
      </c>
      <c r="M9" s="1224"/>
      <c r="N9" s="1208"/>
      <c r="O9" s="1208"/>
      <c r="P9" s="1215"/>
      <c r="Q9" s="1208"/>
      <c r="R9" s="1208"/>
      <c r="S9" s="1215"/>
      <c r="T9" s="602"/>
    </row>
    <row r="10" spans="2:20" ht="31.5" customHeight="1" thickBot="1">
      <c r="B10" s="1218"/>
      <c r="C10" s="1211"/>
      <c r="D10" s="614" t="s">
        <v>403</v>
      </c>
      <c r="E10" s="1211"/>
      <c r="F10" s="242" t="s">
        <v>56</v>
      </c>
      <c r="G10" s="601" t="s">
        <v>56</v>
      </c>
      <c r="H10" s="533">
        <v>0</v>
      </c>
      <c r="I10" s="603"/>
      <c r="J10" s="536">
        <v>360</v>
      </c>
      <c r="K10" s="601">
        <v>366</v>
      </c>
      <c r="L10" s="603">
        <v>100</v>
      </c>
      <c r="M10" s="1224"/>
      <c r="N10" s="1208"/>
      <c r="O10" s="1208"/>
      <c r="P10" s="1215"/>
      <c r="Q10" s="1208"/>
      <c r="R10" s="1208"/>
      <c r="S10" s="1215"/>
      <c r="T10" s="602"/>
    </row>
    <row r="11" spans="2:20" ht="30.75" customHeight="1" thickBot="1">
      <c r="B11" s="1218"/>
      <c r="C11" s="1212"/>
      <c r="D11" s="408" t="s">
        <v>404</v>
      </c>
      <c r="E11" s="1211"/>
      <c r="F11" s="538">
        <v>5</v>
      </c>
      <c r="G11" s="424">
        <v>2</v>
      </c>
      <c r="H11" s="533">
        <f t="shared" si="0"/>
        <v>40</v>
      </c>
      <c r="I11" s="388"/>
      <c r="J11" s="534">
        <v>21</v>
      </c>
      <c r="K11" s="424">
        <v>21</v>
      </c>
      <c r="L11" s="388">
        <f>(+K11/J11)*100</f>
        <v>100</v>
      </c>
      <c r="M11" s="1224"/>
      <c r="N11" s="1208"/>
      <c r="O11" s="1208"/>
      <c r="P11" s="1215"/>
      <c r="Q11" s="1208"/>
      <c r="R11" s="1208"/>
      <c r="S11" s="1215"/>
      <c r="T11" s="602"/>
    </row>
    <row r="12" spans="2:20" ht="62.25" customHeight="1" thickBot="1">
      <c r="B12" s="1218"/>
      <c r="C12" s="1210" t="s">
        <v>222</v>
      </c>
      <c r="D12" s="288" t="s">
        <v>366</v>
      </c>
      <c r="E12" s="1211"/>
      <c r="F12" s="538">
        <v>5</v>
      </c>
      <c r="G12" s="424">
        <v>2</v>
      </c>
      <c r="H12" s="533">
        <f t="shared" si="0"/>
        <v>40</v>
      </c>
      <c r="I12" s="388"/>
      <c r="J12" s="534">
        <v>21</v>
      </c>
      <c r="K12" s="424">
        <v>21</v>
      </c>
      <c r="L12" s="388">
        <f>(+K12/J12)*100</f>
        <v>100</v>
      </c>
      <c r="M12" s="1224"/>
      <c r="N12" s="1208"/>
      <c r="O12" s="1208"/>
      <c r="P12" s="1215"/>
      <c r="Q12" s="1208"/>
      <c r="R12" s="1208"/>
      <c r="S12" s="1215"/>
      <c r="T12" s="602"/>
    </row>
    <row r="13" spans="2:20" ht="32.25" customHeight="1" thickBot="1">
      <c r="B13" s="1218"/>
      <c r="C13" s="1211"/>
      <c r="D13" s="408" t="s">
        <v>402</v>
      </c>
      <c r="E13" s="1211"/>
      <c r="F13" s="538">
        <v>21</v>
      </c>
      <c r="G13" s="424">
        <v>12</v>
      </c>
      <c r="H13" s="533">
        <f t="shared" si="0"/>
        <v>57.14285714285714</v>
      </c>
      <c r="I13" s="388"/>
      <c r="J13" s="534">
        <v>21</v>
      </c>
      <c r="K13" s="424">
        <v>21</v>
      </c>
      <c r="L13" s="388">
        <f>(+K13/J13)*100</f>
        <v>100</v>
      </c>
      <c r="M13" s="1224"/>
      <c r="N13" s="1208"/>
      <c r="O13" s="1208"/>
      <c r="P13" s="1215"/>
      <c r="Q13" s="1208"/>
      <c r="R13" s="1208"/>
      <c r="S13" s="1215"/>
      <c r="T13" s="602"/>
    </row>
    <row r="14" spans="2:20" ht="31.5" customHeight="1" thickBot="1">
      <c r="B14" s="1218"/>
      <c r="C14" s="1211"/>
      <c r="D14" s="20" t="s">
        <v>403</v>
      </c>
      <c r="E14" s="1211"/>
      <c r="F14" s="539" t="s">
        <v>56</v>
      </c>
      <c r="G14" s="540" t="s">
        <v>56</v>
      </c>
      <c r="H14" s="533">
        <v>0</v>
      </c>
      <c r="I14" s="101"/>
      <c r="J14" s="391">
        <v>360</v>
      </c>
      <c r="K14" s="541">
        <v>366</v>
      </c>
      <c r="L14" s="101">
        <v>100</v>
      </c>
      <c r="M14" s="1224"/>
      <c r="N14" s="1208"/>
      <c r="O14" s="1208"/>
      <c r="P14" s="1215"/>
      <c r="Q14" s="1208"/>
      <c r="R14" s="1208"/>
      <c r="S14" s="1215"/>
      <c r="T14" s="764"/>
    </row>
    <row r="15" spans="2:20" ht="33" customHeight="1" thickBot="1">
      <c r="B15" s="1218"/>
      <c r="C15" s="1212"/>
      <c r="D15" s="408" t="s">
        <v>406</v>
      </c>
      <c r="E15" s="1211"/>
      <c r="F15" s="538">
        <v>5</v>
      </c>
      <c r="G15" s="424">
        <v>2</v>
      </c>
      <c r="H15" s="533">
        <f t="shared" si="0"/>
        <v>40</v>
      </c>
      <c r="I15" s="388"/>
      <c r="J15" s="390">
        <v>21</v>
      </c>
      <c r="K15" s="424">
        <v>21</v>
      </c>
      <c r="L15" s="388">
        <f>(+K15/J15)*100</f>
        <v>100</v>
      </c>
      <c r="M15" s="1224"/>
      <c r="N15" s="1208"/>
      <c r="O15" s="1208"/>
      <c r="P15" s="1215"/>
      <c r="Q15" s="1208"/>
      <c r="R15" s="1208"/>
      <c r="S15" s="1215"/>
      <c r="T15" s="602"/>
    </row>
    <row r="16" spans="2:20" ht="33" customHeight="1" thickBot="1">
      <c r="B16" s="1218"/>
      <c r="C16" s="1210" t="s">
        <v>223</v>
      </c>
      <c r="D16" s="408" t="s">
        <v>407</v>
      </c>
      <c r="E16" s="1211"/>
      <c r="F16" s="538">
        <v>1</v>
      </c>
      <c r="G16" s="424">
        <v>1</v>
      </c>
      <c r="H16" s="533">
        <f t="shared" si="0"/>
        <v>100</v>
      </c>
      <c r="I16" s="388"/>
      <c r="J16" s="534">
        <v>6</v>
      </c>
      <c r="K16" s="424">
        <v>6</v>
      </c>
      <c r="L16" s="388">
        <f>(+K16/J16)*100</f>
        <v>100</v>
      </c>
      <c r="M16" s="1224"/>
      <c r="N16" s="1208"/>
      <c r="O16" s="1208"/>
      <c r="P16" s="1215"/>
      <c r="Q16" s="1208"/>
      <c r="R16" s="1208"/>
      <c r="S16" s="1215"/>
      <c r="T16" s="602"/>
    </row>
    <row r="17" spans="2:20" ht="45.75" customHeight="1" thickBot="1">
      <c r="B17" s="1219"/>
      <c r="C17" s="1211"/>
      <c r="D17" s="408" t="s">
        <v>408</v>
      </c>
      <c r="E17" s="1212"/>
      <c r="F17" s="538">
        <v>14</v>
      </c>
      <c r="G17" s="424">
        <v>12</v>
      </c>
      <c r="H17" s="533">
        <f t="shared" si="0"/>
        <v>85.71428571428571</v>
      </c>
      <c r="I17" s="388"/>
      <c r="J17" s="534">
        <v>21</v>
      </c>
      <c r="K17" s="424">
        <v>21</v>
      </c>
      <c r="L17" s="388">
        <f>(+K17/J17)*100</f>
        <v>100</v>
      </c>
      <c r="M17" s="1224"/>
      <c r="N17" s="1208"/>
      <c r="O17" s="1208"/>
      <c r="P17" s="1215"/>
      <c r="Q17" s="1208"/>
      <c r="R17" s="1208"/>
      <c r="S17" s="1215"/>
      <c r="T17" s="602"/>
    </row>
    <row r="18" spans="2:20" ht="30" customHeight="1" thickBot="1">
      <c r="B18" s="1220" t="s">
        <v>230</v>
      </c>
      <c r="C18" s="1212"/>
      <c r="D18" s="408" t="s">
        <v>313</v>
      </c>
      <c r="E18" s="1210" t="s">
        <v>762</v>
      </c>
      <c r="F18" s="538">
        <v>40</v>
      </c>
      <c r="G18" s="424">
        <v>63</v>
      </c>
      <c r="H18" s="533">
        <v>100</v>
      </c>
      <c r="I18" s="388"/>
      <c r="J18" s="534">
        <v>330</v>
      </c>
      <c r="K18" s="424">
        <v>420</v>
      </c>
      <c r="L18" s="388">
        <v>100</v>
      </c>
      <c r="M18" s="1224"/>
      <c r="N18" s="1208"/>
      <c r="O18" s="1208"/>
      <c r="P18" s="1215"/>
      <c r="Q18" s="1208"/>
      <c r="R18" s="1208"/>
      <c r="S18" s="1215"/>
      <c r="T18" s="602"/>
    </row>
    <row r="19" spans="2:20" ht="17.25" customHeight="1" thickBot="1">
      <c r="B19" s="1221"/>
      <c r="C19" s="1205" t="s">
        <v>226</v>
      </c>
      <c r="D19" s="408" t="s">
        <v>405</v>
      </c>
      <c r="E19" s="1211"/>
      <c r="F19" s="538">
        <v>10</v>
      </c>
      <c r="G19" s="424">
        <v>18</v>
      </c>
      <c r="H19" s="533">
        <v>100</v>
      </c>
      <c r="I19" s="388"/>
      <c r="J19" s="390">
        <v>240</v>
      </c>
      <c r="K19" s="424">
        <v>269</v>
      </c>
      <c r="L19" s="388">
        <v>100</v>
      </c>
      <c r="M19" s="1224"/>
      <c r="N19" s="1208"/>
      <c r="O19" s="1208"/>
      <c r="P19" s="1215"/>
      <c r="Q19" s="1208"/>
      <c r="R19" s="1208"/>
      <c r="S19" s="1215"/>
      <c r="T19" s="602"/>
    </row>
    <row r="20" spans="2:20" ht="30" customHeight="1" thickBot="1">
      <c r="B20" s="1221"/>
      <c r="C20" s="1206"/>
      <c r="D20" s="408" t="s">
        <v>402</v>
      </c>
      <c r="E20" s="1211"/>
      <c r="F20" s="538">
        <v>10</v>
      </c>
      <c r="G20" s="424">
        <v>6</v>
      </c>
      <c r="H20" s="533">
        <f t="shared" si="0"/>
        <v>60</v>
      </c>
      <c r="I20" s="388"/>
      <c r="J20" s="534">
        <v>21</v>
      </c>
      <c r="K20" s="424">
        <v>21</v>
      </c>
      <c r="L20" s="388">
        <f>(+K20/J20)*100</f>
        <v>100</v>
      </c>
      <c r="M20" s="1224"/>
      <c r="N20" s="1208"/>
      <c r="O20" s="1208"/>
      <c r="P20" s="1215"/>
      <c r="Q20" s="1208"/>
      <c r="R20" s="1208"/>
      <c r="S20" s="1215"/>
      <c r="T20" s="602"/>
    </row>
    <row r="21" spans="2:20" ht="45.75" thickBot="1">
      <c r="B21" s="1221"/>
      <c r="C21" s="408" t="s">
        <v>227</v>
      </c>
      <c r="D21" s="408" t="s">
        <v>412</v>
      </c>
      <c r="E21" s="1211"/>
      <c r="F21" s="765">
        <v>1</v>
      </c>
      <c r="G21" s="424">
        <v>1</v>
      </c>
      <c r="H21" s="533">
        <f t="shared" si="0"/>
        <v>100</v>
      </c>
      <c r="I21" s="388"/>
      <c r="J21" s="390">
        <v>20</v>
      </c>
      <c r="K21" s="424">
        <v>20</v>
      </c>
      <c r="L21" s="388">
        <f>(+K21/J21)*100</f>
        <v>100</v>
      </c>
      <c r="M21" s="1224"/>
      <c r="N21" s="1208"/>
      <c r="O21" s="1208"/>
      <c r="P21" s="1215"/>
      <c r="Q21" s="1208"/>
      <c r="R21" s="1208"/>
      <c r="S21" s="1215"/>
      <c r="T21" s="602"/>
    </row>
    <row r="22" spans="2:20" ht="30.75" customHeight="1" thickBot="1">
      <c r="B22" s="1221"/>
      <c r="C22" s="1205" t="s">
        <v>228</v>
      </c>
      <c r="D22" s="408" t="s">
        <v>420</v>
      </c>
      <c r="E22" s="1211"/>
      <c r="F22" s="538">
        <v>10</v>
      </c>
      <c r="G22" s="424">
        <v>10</v>
      </c>
      <c r="H22" s="533">
        <f t="shared" si="0"/>
        <v>100</v>
      </c>
      <c r="I22" s="388"/>
      <c r="J22" s="390">
        <v>35</v>
      </c>
      <c r="K22" s="424">
        <v>35</v>
      </c>
      <c r="L22" s="388">
        <f>(+K22/J22)*100</f>
        <v>100</v>
      </c>
      <c r="M22" s="1224"/>
      <c r="N22" s="1208"/>
      <c r="O22" s="1208"/>
      <c r="P22" s="1215"/>
      <c r="Q22" s="1208"/>
      <c r="R22" s="1208"/>
      <c r="S22" s="1215"/>
      <c r="T22" s="602"/>
    </row>
    <row r="23" spans="2:20" ht="33.75" customHeight="1" thickBot="1">
      <c r="B23" s="1221"/>
      <c r="C23" s="1206"/>
      <c r="D23" s="408" t="s">
        <v>421</v>
      </c>
      <c r="E23" s="1211"/>
      <c r="F23" s="538">
        <v>10</v>
      </c>
      <c r="G23" s="424">
        <v>10</v>
      </c>
      <c r="H23" s="533">
        <f t="shared" si="0"/>
        <v>100</v>
      </c>
      <c r="I23" s="388"/>
      <c r="J23" s="534">
        <v>10</v>
      </c>
      <c r="K23" s="424">
        <v>10</v>
      </c>
      <c r="L23" s="388">
        <f>(+K23/J23)*100</f>
        <v>100</v>
      </c>
      <c r="M23" s="1224"/>
      <c r="N23" s="1208"/>
      <c r="O23" s="1208"/>
      <c r="P23" s="1215"/>
      <c r="Q23" s="1208"/>
      <c r="R23" s="1208"/>
      <c r="S23" s="1215"/>
      <c r="T23" s="602"/>
    </row>
    <row r="24" spans="2:20" ht="59.25" customHeight="1" thickBot="1">
      <c r="B24" s="1221"/>
      <c r="C24" s="1205" t="s">
        <v>235</v>
      </c>
      <c r="D24" s="408" t="s">
        <v>243</v>
      </c>
      <c r="E24" s="1211"/>
      <c r="F24" s="538" t="s">
        <v>56</v>
      </c>
      <c r="G24" s="424" t="s">
        <v>56</v>
      </c>
      <c r="H24" s="533">
        <v>0</v>
      </c>
      <c r="I24" s="542"/>
      <c r="J24" s="390">
        <v>60</v>
      </c>
      <c r="K24" s="424">
        <v>450</v>
      </c>
      <c r="L24" s="388">
        <v>100</v>
      </c>
      <c r="M24" s="1224"/>
      <c r="N24" s="1208"/>
      <c r="O24" s="1208"/>
      <c r="P24" s="1215"/>
      <c r="Q24" s="1208"/>
      <c r="R24" s="1208"/>
      <c r="S24" s="1215"/>
      <c r="T24" s="602"/>
    </row>
    <row r="25" spans="2:20" ht="36" customHeight="1" thickBot="1">
      <c r="B25" s="1221"/>
      <c r="C25" s="1206"/>
      <c r="D25" s="408" t="s">
        <v>244</v>
      </c>
      <c r="E25" s="1211"/>
      <c r="F25" s="763">
        <v>1</v>
      </c>
      <c r="G25" s="424">
        <v>1</v>
      </c>
      <c r="H25" s="533">
        <f t="shared" si="0"/>
        <v>100</v>
      </c>
      <c r="I25" s="542"/>
      <c r="J25" s="534">
        <v>6</v>
      </c>
      <c r="K25" s="424">
        <v>5</v>
      </c>
      <c r="L25" s="388">
        <f>(+K25/J25)*100</f>
        <v>83.33333333333334</v>
      </c>
      <c r="M25" s="1224"/>
      <c r="N25" s="1208"/>
      <c r="O25" s="1208"/>
      <c r="P25" s="1215"/>
      <c r="Q25" s="1208"/>
      <c r="R25" s="1208"/>
      <c r="S25" s="1215"/>
      <c r="T25" s="602"/>
    </row>
    <row r="26" spans="2:22" ht="44.25" customHeight="1" thickBot="1">
      <c r="B26" s="1221"/>
      <c r="C26" s="408" t="s">
        <v>236</v>
      </c>
      <c r="D26" s="408" t="s">
        <v>245</v>
      </c>
      <c r="E26" s="1211"/>
      <c r="F26" s="538">
        <v>2</v>
      </c>
      <c r="G26" s="424">
        <v>8</v>
      </c>
      <c r="H26" s="533">
        <v>100</v>
      </c>
      <c r="I26" s="542"/>
      <c r="J26" s="390">
        <v>21</v>
      </c>
      <c r="K26" s="424">
        <v>21</v>
      </c>
      <c r="L26" s="388">
        <v>100</v>
      </c>
      <c r="M26" s="1224"/>
      <c r="N26" s="1208"/>
      <c r="O26" s="1208"/>
      <c r="P26" s="1215"/>
      <c r="Q26" s="1208"/>
      <c r="R26" s="1208"/>
      <c r="S26" s="1215"/>
      <c r="T26" s="602"/>
      <c r="U26">
        <v>1528000000</v>
      </c>
      <c r="V26">
        <v>963679549</v>
      </c>
    </row>
    <row r="27" spans="2:20" ht="30.75" thickBot="1">
      <c r="B27" s="1221"/>
      <c r="C27" s="408" t="s">
        <v>246</v>
      </c>
      <c r="D27" s="408" t="s">
        <v>247</v>
      </c>
      <c r="E27" s="1225"/>
      <c r="F27" s="538">
        <v>6</v>
      </c>
      <c r="G27" s="424">
        <v>5</v>
      </c>
      <c r="H27" s="533">
        <f>(+G27/F27)*100</f>
        <v>83.33333333333334</v>
      </c>
      <c r="I27" s="542"/>
      <c r="J27" s="427">
        <v>21</v>
      </c>
      <c r="K27" s="424">
        <v>20</v>
      </c>
      <c r="L27" s="388">
        <f>(+K27/J27)*100</f>
        <v>95.23809523809523</v>
      </c>
      <c r="M27" s="1224"/>
      <c r="N27" s="1208"/>
      <c r="O27" s="1208"/>
      <c r="P27" s="1215"/>
      <c r="Q27" s="1208"/>
      <c r="R27" s="1208"/>
      <c r="S27" s="1215"/>
      <c r="T27" s="602"/>
    </row>
    <row r="28" spans="2:20" ht="37.5" customHeight="1" thickBot="1" thickTop="1">
      <c r="B28" s="1221"/>
      <c r="C28" s="411" t="s">
        <v>763</v>
      </c>
      <c r="D28" s="630" t="s">
        <v>250</v>
      </c>
      <c r="E28" s="1227" t="s">
        <v>764</v>
      </c>
      <c r="F28" s="765">
        <v>1</v>
      </c>
      <c r="G28" s="424">
        <v>1</v>
      </c>
      <c r="H28" s="533">
        <f>(+G28/F28)*100</f>
        <v>100</v>
      </c>
      <c r="I28" s="543"/>
      <c r="J28" s="765">
        <v>6</v>
      </c>
      <c r="K28" s="424">
        <v>5</v>
      </c>
      <c r="L28" s="533">
        <f>(+K28/J28)*100</f>
        <v>83.33333333333334</v>
      </c>
      <c r="M28" s="1224"/>
      <c r="N28" s="1208"/>
      <c r="O28" s="1208"/>
      <c r="P28" s="1215"/>
      <c r="Q28" s="1208"/>
      <c r="R28" s="1208"/>
      <c r="S28" s="1215"/>
      <c r="T28" s="766"/>
    </row>
    <row r="29" spans="2:20" ht="45.75" thickBot="1">
      <c r="B29" s="1221"/>
      <c r="C29" s="409" t="s">
        <v>765</v>
      </c>
      <c r="D29" s="382" t="s">
        <v>766</v>
      </c>
      <c r="E29" s="1228"/>
      <c r="F29" s="293">
        <v>1</v>
      </c>
      <c r="G29" s="424">
        <v>1</v>
      </c>
      <c r="H29" s="533">
        <f aca="true" t="shared" si="1" ref="H29:H34">(+G29/F29)*100</f>
        <v>100</v>
      </c>
      <c r="I29" s="542"/>
      <c r="J29" s="293">
        <v>1</v>
      </c>
      <c r="K29" s="424">
        <v>1</v>
      </c>
      <c r="L29" s="533">
        <f aca="true" t="shared" si="2" ref="L29:L35">(+K29/J29)*100</f>
        <v>100</v>
      </c>
      <c r="M29" s="1224"/>
      <c r="N29" s="1208"/>
      <c r="O29" s="1208"/>
      <c r="P29" s="1215"/>
      <c r="Q29" s="1208"/>
      <c r="R29" s="1208"/>
      <c r="S29" s="1215"/>
      <c r="T29" s="602"/>
    </row>
    <row r="30" spans="2:20" ht="30.75" thickBot="1">
      <c r="B30" s="1221"/>
      <c r="C30" s="409" t="s">
        <v>767</v>
      </c>
      <c r="D30" s="382" t="s">
        <v>250</v>
      </c>
      <c r="E30" s="1229"/>
      <c r="F30" s="293">
        <v>1</v>
      </c>
      <c r="G30" s="424">
        <v>1</v>
      </c>
      <c r="H30" s="533">
        <f t="shared" si="1"/>
        <v>100</v>
      </c>
      <c r="I30" s="542"/>
      <c r="J30" s="293">
        <v>1</v>
      </c>
      <c r="K30" s="424">
        <v>1</v>
      </c>
      <c r="L30" s="533">
        <f t="shared" si="2"/>
        <v>100</v>
      </c>
      <c r="M30" s="1224"/>
      <c r="N30" s="1208"/>
      <c r="O30" s="1208"/>
      <c r="P30" s="1215"/>
      <c r="Q30" s="1208"/>
      <c r="R30" s="1208"/>
      <c r="S30" s="1215"/>
      <c r="T30" s="602"/>
    </row>
    <row r="31" spans="2:20" ht="64.5" customHeight="1" thickBot="1">
      <c r="B31" s="1221"/>
      <c r="C31" s="409" t="s">
        <v>768</v>
      </c>
      <c r="D31" s="382" t="s">
        <v>769</v>
      </c>
      <c r="E31" s="1230" t="s">
        <v>770</v>
      </c>
      <c r="F31" s="293">
        <v>1</v>
      </c>
      <c r="G31" s="424">
        <v>1</v>
      </c>
      <c r="H31" s="533">
        <f t="shared" si="1"/>
        <v>100</v>
      </c>
      <c r="I31" s="542"/>
      <c r="J31" s="293">
        <v>1</v>
      </c>
      <c r="K31" s="424">
        <v>1</v>
      </c>
      <c r="L31" s="533">
        <f t="shared" si="2"/>
        <v>100</v>
      </c>
      <c r="M31" s="1224"/>
      <c r="N31" s="1208"/>
      <c r="O31" s="1208"/>
      <c r="P31" s="1215"/>
      <c r="Q31" s="1208"/>
      <c r="R31" s="1208"/>
      <c r="S31" s="1215"/>
      <c r="T31" s="602"/>
    </row>
    <row r="32" spans="2:20" ht="60.75" thickBot="1">
      <c r="B32" s="1221"/>
      <c r="C32" s="409" t="s">
        <v>771</v>
      </c>
      <c r="D32" s="412" t="s">
        <v>262</v>
      </c>
      <c r="E32" s="1231"/>
      <c r="F32" s="293">
        <v>1</v>
      </c>
      <c r="G32" s="424">
        <v>1</v>
      </c>
      <c r="H32" s="533">
        <f t="shared" si="1"/>
        <v>100</v>
      </c>
      <c r="I32" s="542"/>
      <c r="J32" s="293">
        <v>1</v>
      </c>
      <c r="K32" s="424">
        <v>1</v>
      </c>
      <c r="L32" s="533">
        <f t="shared" si="2"/>
        <v>100</v>
      </c>
      <c r="M32" s="1224"/>
      <c r="N32" s="1208"/>
      <c r="O32" s="1208"/>
      <c r="P32" s="1215"/>
      <c r="Q32" s="1208"/>
      <c r="R32" s="1208"/>
      <c r="S32" s="1215"/>
      <c r="T32" s="602"/>
    </row>
    <row r="33" spans="2:20" ht="45.75" thickBot="1">
      <c r="B33" s="1221"/>
      <c r="C33" s="413" t="s">
        <v>772</v>
      </c>
      <c r="D33" s="412" t="s">
        <v>773</v>
      </c>
      <c r="E33" s="1231"/>
      <c r="F33" s="293">
        <v>1</v>
      </c>
      <c r="G33" s="424">
        <v>1</v>
      </c>
      <c r="H33" s="533">
        <f t="shared" si="1"/>
        <v>100</v>
      </c>
      <c r="I33" s="542"/>
      <c r="J33" s="293">
        <v>1</v>
      </c>
      <c r="K33" s="424">
        <v>1</v>
      </c>
      <c r="L33" s="533">
        <f t="shared" si="2"/>
        <v>100</v>
      </c>
      <c r="M33" s="1224"/>
      <c r="N33" s="1208"/>
      <c r="O33" s="1208"/>
      <c r="P33" s="1215"/>
      <c r="Q33" s="1208"/>
      <c r="R33" s="1208"/>
      <c r="S33" s="1215"/>
      <c r="T33" s="602"/>
    </row>
    <row r="34" spans="2:20" ht="45.75" thickBot="1">
      <c r="B34" s="1221"/>
      <c r="C34" s="413" t="s">
        <v>774</v>
      </c>
      <c r="D34" s="382" t="s">
        <v>262</v>
      </c>
      <c r="E34" s="1231"/>
      <c r="F34" s="293">
        <v>1</v>
      </c>
      <c r="G34" s="424">
        <v>1</v>
      </c>
      <c r="H34" s="533">
        <f t="shared" si="1"/>
        <v>100</v>
      </c>
      <c r="I34" s="542"/>
      <c r="J34" s="293">
        <v>1</v>
      </c>
      <c r="K34" s="424">
        <v>1</v>
      </c>
      <c r="L34" s="533">
        <f t="shared" si="2"/>
        <v>100</v>
      </c>
      <c r="M34" s="1224"/>
      <c r="N34" s="1208"/>
      <c r="O34" s="1208"/>
      <c r="P34" s="1215"/>
      <c r="Q34" s="1208"/>
      <c r="R34" s="1208"/>
      <c r="S34" s="1215"/>
      <c r="T34" s="602"/>
    </row>
    <row r="35" spans="2:20" ht="45">
      <c r="B35" s="1221"/>
      <c r="C35" s="414" t="s">
        <v>775</v>
      </c>
      <c r="D35" s="415" t="s">
        <v>262</v>
      </c>
      <c r="E35" s="1231"/>
      <c r="F35" s="544">
        <v>4</v>
      </c>
      <c r="G35" s="424">
        <v>9</v>
      </c>
      <c r="H35" s="533">
        <v>100</v>
      </c>
      <c r="I35" s="542"/>
      <c r="J35" s="544">
        <v>4</v>
      </c>
      <c r="K35" s="424">
        <v>4</v>
      </c>
      <c r="L35" s="533">
        <f t="shared" si="2"/>
        <v>100</v>
      </c>
      <c r="M35" s="1224"/>
      <c r="N35" s="1208"/>
      <c r="O35" s="1208"/>
      <c r="P35" s="1215"/>
      <c r="Q35" s="1208"/>
      <c r="R35" s="1208"/>
      <c r="S35" s="1215"/>
      <c r="T35" s="602"/>
    </row>
    <row r="36" spans="2:20" ht="27" customHeight="1">
      <c r="B36" s="1221"/>
      <c r="C36" s="1226" t="s">
        <v>220</v>
      </c>
      <c r="D36" s="416" t="s">
        <v>310</v>
      </c>
      <c r="E36" s="1226" t="s">
        <v>365</v>
      </c>
      <c r="F36" s="545" t="s">
        <v>56</v>
      </c>
      <c r="G36" s="546" t="s">
        <v>56</v>
      </c>
      <c r="H36" s="546" t="s">
        <v>56</v>
      </c>
      <c r="I36" s="547"/>
      <c r="J36" s="548">
        <v>1</v>
      </c>
      <c r="K36" s="546">
        <v>1</v>
      </c>
      <c r="L36" s="547">
        <f>(+K36/J36)*100</f>
        <v>100</v>
      </c>
      <c r="M36" s="1224"/>
      <c r="N36" s="1208"/>
      <c r="O36" s="1208"/>
      <c r="P36" s="1215"/>
      <c r="Q36" s="1208"/>
      <c r="R36" s="1208"/>
      <c r="S36" s="1215"/>
      <c r="T36" s="39"/>
    </row>
    <row r="37" spans="2:20" ht="25.5" customHeight="1">
      <c r="B37" s="1221"/>
      <c r="C37" s="1226"/>
      <c r="D37" s="416" t="s">
        <v>309</v>
      </c>
      <c r="E37" s="1226"/>
      <c r="F37" s="545" t="s">
        <v>56</v>
      </c>
      <c r="G37" s="546" t="s">
        <v>56</v>
      </c>
      <c r="H37" s="546" t="s">
        <v>56</v>
      </c>
      <c r="I37" s="547"/>
      <c r="J37" s="549">
        <v>1</v>
      </c>
      <c r="K37" s="546">
        <v>1</v>
      </c>
      <c r="L37" s="547">
        <f>(+K37/J37)*100</f>
        <v>100</v>
      </c>
      <c r="M37" s="1224"/>
      <c r="N37" s="1208"/>
      <c r="O37" s="1208"/>
      <c r="P37" s="1215"/>
      <c r="Q37" s="1208"/>
      <c r="R37" s="1208"/>
      <c r="S37" s="1215"/>
      <c r="T37" s="39"/>
    </row>
    <row r="38" spans="2:20" ht="30" customHeight="1">
      <c r="B38" s="1221"/>
      <c r="C38" s="1226"/>
      <c r="D38" s="416" t="s">
        <v>311</v>
      </c>
      <c r="E38" s="1226"/>
      <c r="F38" s="545" t="s">
        <v>56</v>
      </c>
      <c r="G38" s="546" t="s">
        <v>56</v>
      </c>
      <c r="H38" s="546" t="s">
        <v>56</v>
      </c>
      <c r="I38" s="547"/>
      <c r="J38" s="549">
        <v>4</v>
      </c>
      <c r="K38" s="546">
        <v>4</v>
      </c>
      <c r="L38" s="547">
        <f>(+K38/J38)*100</f>
        <v>100</v>
      </c>
      <c r="M38" s="1224"/>
      <c r="N38" s="1208"/>
      <c r="O38" s="1208"/>
      <c r="P38" s="1215"/>
      <c r="Q38" s="1208"/>
      <c r="R38" s="1208"/>
      <c r="S38" s="1215"/>
      <c r="T38" s="39"/>
    </row>
    <row r="39" spans="2:20" ht="28.5" customHeight="1">
      <c r="B39" s="1221"/>
      <c r="C39" s="1226" t="s">
        <v>224</v>
      </c>
      <c r="D39" s="416" t="s">
        <v>409</v>
      </c>
      <c r="E39" s="1238" t="s">
        <v>367</v>
      </c>
      <c r="F39" s="545" t="s">
        <v>56</v>
      </c>
      <c r="G39" s="546" t="s">
        <v>56</v>
      </c>
      <c r="H39" s="546" t="s">
        <v>56</v>
      </c>
      <c r="I39" s="547"/>
      <c r="J39" s="549">
        <v>21</v>
      </c>
      <c r="K39" s="546">
        <v>21</v>
      </c>
      <c r="L39" s="547">
        <f>(+K39/J39)*100</f>
        <v>100</v>
      </c>
      <c r="M39" s="1224"/>
      <c r="N39" s="1208"/>
      <c r="O39" s="1208"/>
      <c r="P39" s="1215"/>
      <c r="Q39" s="1208"/>
      <c r="R39" s="1208"/>
      <c r="S39" s="1215"/>
      <c r="T39" s="39"/>
    </row>
    <row r="40" spans="2:20" ht="26.25" customHeight="1">
      <c r="B40" s="1221"/>
      <c r="C40" s="1226"/>
      <c r="D40" s="416" t="s">
        <v>410</v>
      </c>
      <c r="E40" s="1238"/>
      <c r="F40" s="545" t="s">
        <v>56</v>
      </c>
      <c r="G40" s="550" t="s">
        <v>56</v>
      </c>
      <c r="H40" s="550" t="s">
        <v>56</v>
      </c>
      <c r="I40" s="547"/>
      <c r="J40" s="549">
        <v>300</v>
      </c>
      <c r="K40" s="546">
        <v>300</v>
      </c>
      <c r="L40" s="547">
        <f>(+K40/J40)*100</f>
        <v>100</v>
      </c>
      <c r="M40" s="1224"/>
      <c r="N40" s="1208"/>
      <c r="O40" s="1208"/>
      <c r="P40" s="1215"/>
      <c r="Q40" s="1208"/>
      <c r="R40" s="1208"/>
      <c r="S40" s="1215"/>
      <c r="T40" s="39"/>
    </row>
    <row r="41" spans="2:20" ht="38.25">
      <c r="B41" s="1221"/>
      <c r="C41" s="416" t="s">
        <v>225</v>
      </c>
      <c r="D41" s="416" t="s">
        <v>411</v>
      </c>
      <c r="E41" s="1238"/>
      <c r="F41" s="545" t="s">
        <v>56</v>
      </c>
      <c r="G41" s="550" t="s">
        <v>56</v>
      </c>
      <c r="H41" s="550" t="s">
        <v>56</v>
      </c>
      <c r="I41" s="547"/>
      <c r="J41" s="549">
        <v>20</v>
      </c>
      <c r="K41" s="546">
        <v>21</v>
      </c>
      <c r="L41" s="547">
        <v>100</v>
      </c>
      <c r="M41" s="1224"/>
      <c r="N41" s="1208"/>
      <c r="O41" s="1208"/>
      <c r="P41" s="1215"/>
      <c r="Q41" s="1208"/>
      <c r="R41" s="1208"/>
      <c r="S41" s="1215"/>
      <c r="T41" s="39"/>
    </row>
    <row r="42" spans="2:20" ht="26.25" thickBot="1">
      <c r="B42" s="1221"/>
      <c r="C42" s="417" t="s">
        <v>229</v>
      </c>
      <c r="D42" s="417" t="s">
        <v>314</v>
      </c>
      <c r="E42" s="1239"/>
      <c r="F42" s="551" t="s">
        <v>56</v>
      </c>
      <c r="G42" s="552" t="s">
        <v>56</v>
      </c>
      <c r="H42" s="553" t="s">
        <v>56</v>
      </c>
      <c r="I42" s="554"/>
      <c r="J42" s="555">
        <v>1</v>
      </c>
      <c r="K42" s="552">
        <v>1</v>
      </c>
      <c r="L42" s="554">
        <f>(+K42/J42)*100</f>
        <v>100</v>
      </c>
      <c r="M42" s="1224"/>
      <c r="N42" s="1208"/>
      <c r="O42" s="1208"/>
      <c r="P42" s="1215"/>
      <c r="Q42" s="1208"/>
      <c r="R42" s="1208"/>
      <c r="S42" s="1215"/>
      <c r="T42" s="767"/>
    </row>
    <row r="43" spans="2:20" ht="32.25" customHeight="1" thickBot="1">
      <c r="B43" s="1222"/>
      <c r="C43" s="1235" t="s">
        <v>659</v>
      </c>
      <c r="D43" s="1236"/>
      <c r="E43" s="1237"/>
      <c r="F43" s="275">
        <v>2500</v>
      </c>
      <c r="G43" s="276"/>
      <c r="H43" s="276">
        <f>SUM(H2:H42)</f>
        <v>2146.190476190476</v>
      </c>
      <c r="I43" s="277">
        <f>(+H43/F43)*100</f>
        <v>85.84761904761905</v>
      </c>
      <c r="J43" s="278">
        <v>3600</v>
      </c>
      <c r="K43" s="279"/>
      <c r="L43" s="280">
        <f>SUM(L2:L42)</f>
        <v>3561.904761904762</v>
      </c>
      <c r="M43" s="1216"/>
      <c r="N43" s="1209"/>
      <c r="O43" s="1209"/>
      <c r="P43" s="1216"/>
      <c r="Q43" s="1209"/>
      <c r="R43" s="1209"/>
      <c r="S43" s="1216"/>
      <c r="T43" s="723">
        <f>(+L43/J43)*100</f>
        <v>98.94179894179894</v>
      </c>
    </row>
    <row r="44" spans="2:20" ht="45" customHeight="1" thickBot="1">
      <c r="B44" s="923" t="s">
        <v>655</v>
      </c>
      <c r="C44" s="11"/>
      <c r="D44" s="874" t="s">
        <v>541</v>
      </c>
      <c r="E44" s="875"/>
      <c r="F44" s="875"/>
      <c r="G44" s="875"/>
      <c r="H44" s="875"/>
      <c r="I44" s="875"/>
      <c r="J44" s="875"/>
      <c r="K44" s="875"/>
      <c r="L44" s="875"/>
      <c r="M44" s="876"/>
      <c r="N44" s="874" t="s">
        <v>542</v>
      </c>
      <c r="O44" s="875"/>
      <c r="P44" s="875"/>
      <c r="Q44" s="875"/>
      <c r="R44" s="875"/>
      <c r="S44" s="875"/>
      <c r="T44" s="920" t="s">
        <v>269</v>
      </c>
    </row>
    <row r="45" spans="2:20" ht="366" customHeight="1" thickBot="1">
      <c r="B45" s="924"/>
      <c r="C45" s="12" t="s">
        <v>439</v>
      </c>
      <c r="D45" s="12" t="s">
        <v>307</v>
      </c>
      <c r="E45" s="12" t="s">
        <v>294</v>
      </c>
      <c r="F45" s="14" t="s">
        <v>271</v>
      </c>
      <c r="G45" s="14" t="s">
        <v>272</v>
      </c>
      <c r="H45" s="15" t="s">
        <v>284</v>
      </c>
      <c r="I45" s="14" t="s">
        <v>285</v>
      </c>
      <c r="J45" s="14" t="s">
        <v>650</v>
      </c>
      <c r="K45" s="14" t="s">
        <v>286</v>
      </c>
      <c r="L45" s="16" t="s">
        <v>287</v>
      </c>
      <c r="M45" s="14" t="s">
        <v>668</v>
      </c>
      <c r="N45" s="14" t="s">
        <v>270</v>
      </c>
      <c r="O45" s="15" t="s">
        <v>289</v>
      </c>
      <c r="P45" s="14" t="s">
        <v>290</v>
      </c>
      <c r="Q45" s="14" t="s">
        <v>696</v>
      </c>
      <c r="R45" s="15" t="s">
        <v>291</v>
      </c>
      <c r="S45" s="16" t="s">
        <v>292</v>
      </c>
      <c r="T45" s="921"/>
    </row>
    <row r="46" spans="2:20" ht="22.5" customHeight="1" thickBot="1">
      <c r="B46" s="1031" t="s">
        <v>232</v>
      </c>
      <c r="C46" s="1033"/>
      <c r="D46" s="1033"/>
      <c r="E46" s="1033"/>
      <c r="F46" s="1033"/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4"/>
    </row>
    <row r="47" spans="2:20" ht="36" customHeight="1">
      <c r="B47" s="1103" t="s">
        <v>231</v>
      </c>
      <c r="C47" s="1198" t="s">
        <v>233</v>
      </c>
      <c r="D47" s="421" t="s">
        <v>422</v>
      </c>
      <c r="E47" s="1199" t="s">
        <v>764</v>
      </c>
      <c r="F47" s="493">
        <v>1</v>
      </c>
      <c r="G47" s="493">
        <v>1</v>
      </c>
      <c r="H47" s="493">
        <f>(+G47/F47)*100</f>
        <v>100</v>
      </c>
      <c r="I47" s="770"/>
      <c r="J47" s="772">
        <v>6</v>
      </c>
      <c r="K47" s="493">
        <v>6</v>
      </c>
      <c r="L47" s="493">
        <f>(+K47/J47)*100</f>
        <v>100</v>
      </c>
      <c r="M47" s="1243">
        <v>45</v>
      </c>
      <c r="N47" s="1137">
        <v>460000000</v>
      </c>
      <c r="O47" s="1137">
        <v>416229262</v>
      </c>
      <c r="P47" s="1240">
        <f>(+O47/N47)*100</f>
        <v>90.48462217391304</v>
      </c>
      <c r="Q47" s="1137">
        <f>(49600000+462000000+200000000+350000000+470000000)</f>
        <v>1531600000</v>
      </c>
      <c r="R47" s="1137">
        <f>(230453054+229988398+28544036+O47+355643104+149262531)</f>
        <v>1410120385</v>
      </c>
      <c r="S47" s="1240">
        <f>(+R47/Q47)*100</f>
        <v>92.06845031339775</v>
      </c>
      <c r="T47" s="758"/>
    </row>
    <row r="48" spans="2:20" ht="36.75" customHeight="1">
      <c r="B48" s="1104"/>
      <c r="C48" s="963"/>
      <c r="D48" s="419" t="s">
        <v>777</v>
      </c>
      <c r="E48" s="1200"/>
      <c r="F48" s="201">
        <v>1</v>
      </c>
      <c r="G48" s="201">
        <v>1</v>
      </c>
      <c r="H48" s="201">
        <f aca="true" t="shared" si="3" ref="H48:H57">(+G48/F48)*100</f>
        <v>100</v>
      </c>
      <c r="I48" s="771"/>
      <c r="J48" s="557">
        <v>6</v>
      </c>
      <c r="K48" s="201">
        <v>6</v>
      </c>
      <c r="L48" s="201">
        <f>(+K48/J48)*100</f>
        <v>100</v>
      </c>
      <c r="M48" s="1244"/>
      <c r="N48" s="1138"/>
      <c r="O48" s="1138"/>
      <c r="P48" s="1241"/>
      <c r="Q48" s="1138"/>
      <c r="R48" s="1138"/>
      <c r="S48" s="1241"/>
      <c r="T48" s="602"/>
    </row>
    <row r="49" spans="2:20" ht="36">
      <c r="B49" s="1104"/>
      <c r="C49" s="964"/>
      <c r="D49" s="419" t="s">
        <v>776</v>
      </c>
      <c r="E49" s="1200"/>
      <c r="F49" s="201">
        <v>4</v>
      </c>
      <c r="G49" s="201">
        <v>6</v>
      </c>
      <c r="H49" s="201">
        <v>100</v>
      </c>
      <c r="I49" s="771"/>
      <c r="J49" s="557">
        <v>4</v>
      </c>
      <c r="K49" s="201">
        <v>4</v>
      </c>
      <c r="L49" s="201">
        <f>(+K49/J49)*100</f>
        <v>100</v>
      </c>
      <c r="M49" s="1244"/>
      <c r="N49" s="1138"/>
      <c r="O49" s="1138"/>
      <c r="P49" s="1241"/>
      <c r="Q49" s="1138"/>
      <c r="R49" s="1138"/>
      <c r="S49" s="1241"/>
      <c r="T49" s="602"/>
    </row>
    <row r="50" spans="2:20" ht="54.75" customHeight="1">
      <c r="B50" s="1104"/>
      <c r="C50" s="962" t="s">
        <v>532</v>
      </c>
      <c r="D50" s="419" t="s">
        <v>423</v>
      </c>
      <c r="E50" s="1200"/>
      <c r="F50" s="201">
        <v>4</v>
      </c>
      <c r="G50" s="201">
        <v>4</v>
      </c>
      <c r="H50" s="201">
        <f t="shared" si="3"/>
        <v>100</v>
      </c>
      <c r="I50" s="771"/>
      <c r="J50" s="557">
        <v>20</v>
      </c>
      <c r="K50" s="201">
        <v>20</v>
      </c>
      <c r="L50" s="201">
        <f>(+K50/J50)*100</f>
        <v>100</v>
      </c>
      <c r="M50" s="1244"/>
      <c r="N50" s="1138"/>
      <c r="O50" s="1138"/>
      <c r="P50" s="1241"/>
      <c r="Q50" s="1138"/>
      <c r="R50" s="1138"/>
      <c r="S50" s="1241"/>
      <c r="T50" s="602"/>
    </row>
    <row r="51" spans="2:20" ht="18.75" customHeight="1">
      <c r="B51" s="1104"/>
      <c r="C51" s="964"/>
      <c r="D51" s="419" t="s">
        <v>424</v>
      </c>
      <c r="E51" s="1201"/>
      <c r="F51" s="201">
        <v>10</v>
      </c>
      <c r="G51" s="201">
        <v>23</v>
      </c>
      <c r="H51" s="201">
        <v>100</v>
      </c>
      <c r="I51" s="771"/>
      <c r="J51" s="557">
        <v>80</v>
      </c>
      <c r="K51" s="201">
        <v>130</v>
      </c>
      <c r="L51" s="201">
        <v>100</v>
      </c>
      <c r="M51" s="1244"/>
      <c r="N51" s="1138"/>
      <c r="O51" s="1138"/>
      <c r="P51" s="1241"/>
      <c r="Q51" s="1138"/>
      <c r="R51" s="1138"/>
      <c r="S51" s="1241"/>
      <c r="T51" s="602"/>
    </row>
    <row r="52" spans="2:20" ht="40.5" customHeight="1">
      <c r="B52" s="1104"/>
      <c r="C52" s="419" t="s">
        <v>234</v>
      </c>
      <c r="D52" s="613" t="s">
        <v>778</v>
      </c>
      <c r="E52" s="1202" t="s">
        <v>770</v>
      </c>
      <c r="F52" s="557">
        <v>21</v>
      </c>
      <c r="G52" s="201">
        <v>11</v>
      </c>
      <c r="H52" s="201">
        <f t="shared" si="3"/>
        <v>52.38095238095239</v>
      </c>
      <c r="I52" s="771"/>
      <c r="J52" s="201">
        <v>30</v>
      </c>
      <c r="K52" s="201">
        <v>30</v>
      </c>
      <c r="L52" s="201">
        <f aca="true" t="shared" si="4" ref="L52:L57">(+K52/J52)*100</f>
        <v>100</v>
      </c>
      <c r="M52" s="1244"/>
      <c r="N52" s="1138"/>
      <c r="O52" s="1138"/>
      <c r="P52" s="1241"/>
      <c r="Q52" s="1138"/>
      <c r="R52" s="1138"/>
      <c r="S52" s="1241"/>
      <c r="T52" s="602"/>
    </row>
    <row r="53" spans="2:20" ht="57.75" customHeight="1">
      <c r="B53" s="1104"/>
      <c r="C53" s="419" t="s">
        <v>779</v>
      </c>
      <c r="D53" s="613" t="s">
        <v>780</v>
      </c>
      <c r="E53" s="1203"/>
      <c r="F53" s="557">
        <v>10</v>
      </c>
      <c r="G53" s="201">
        <v>10</v>
      </c>
      <c r="H53" s="201">
        <f t="shared" si="3"/>
        <v>100</v>
      </c>
      <c r="I53" s="557"/>
      <c r="J53" s="557">
        <v>10</v>
      </c>
      <c r="K53" s="201">
        <v>10</v>
      </c>
      <c r="L53" s="201">
        <f t="shared" si="4"/>
        <v>100</v>
      </c>
      <c r="M53" s="1244"/>
      <c r="N53" s="1138"/>
      <c r="O53" s="1138"/>
      <c r="P53" s="1241"/>
      <c r="Q53" s="1138"/>
      <c r="R53" s="1138"/>
      <c r="S53" s="1241"/>
      <c r="T53" s="759"/>
    </row>
    <row r="54" spans="2:20" ht="134.25" customHeight="1" thickBot="1">
      <c r="B54" s="1105"/>
      <c r="C54" s="419" t="s">
        <v>781</v>
      </c>
      <c r="D54" s="613" t="s">
        <v>782</v>
      </c>
      <c r="E54" s="1204"/>
      <c r="F54" s="557">
        <v>10</v>
      </c>
      <c r="G54" s="201">
        <v>33</v>
      </c>
      <c r="H54" s="201">
        <v>100</v>
      </c>
      <c r="I54" s="771"/>
      <c r="J54" s="557">
        <v>10</v>
      </c>
      <c r="K54" s="201">
        <v>33</v>
      </c>
      <c r="L54" s="201">
        <v>100</v>
      </c>
      <c r="M54" s="1244"/>
      <c r="N54" s="1138"/>
      <c r="O54" s="1138"/>
      <c r="P54" s="1241"/>
      <c r="Q54" s="1138"/>
      <c r="R54" s="1138"/>
      <c r="S54" s="1241"/>
      <c r="T54" s="602"/>
    </row>
    <row r="55" spans="2:22" ht="135.75" customHeight="1">
      <c r="B55" s="1103" t="s">
        <v>231</v>
      </c>
      <c r="C55" s="419" t="s">
        <v>783</v>
      </c>
      <c r="D55" s="613" t="s">
        <v>262</v>
      </c>
      <c r="E55" s="1202" t="s">
        <v>770</v>
      </c>
      <c r="F55" s="557">
        <v>85</v>
      </c>
      <c r="G55" s="243">
        <v>233</v>
      </c>
      <c r="H55" s="243">
        <v>100</v>
      </c>
      <c r="I55" s="556"/>
      <c r="J55" s="557">
        <v>85</v>
      </c>
      <c r="K55" s="243">
        <v>233</v>
      </c>
      <c r="L55" s="243">
        <v>100</v>
      </c>
      <c r="M55" s="1244"/>
      <c r="N55" s="1138"/>
      <c r="O55" s="1138"/>
      <c r="P55" s="1241"/>
      <c r="Q55" s="1138"/>
      <c r="R55" s="1138"/>
      <c r="S55" s="1241"/>
      <c r="T55" s="602"/>
      <c r="U55">
        <v>1528000000</v>
      </c>
      <c r="V55">
        <v>963679549</v>
      </c>
    </row>
    <row r="56" spans="2:22" ht="114" customHeight="1">
      <c r="B56" s="1104"/>
      <c r="C56" s="419" t="s">
        <v>784</v>
      </c>
      <c r="D56" s="613" t="s">
        <v>262</v>
      </c>
      <c r="E56" s="1203"/>
      <c r="F56" s="557">
        <v>10</v>
      </c>
      <c r="G56" s="243">
        <v>0</v>
      </c>
      <c r="H56" s="243">
        <f t="shared" si="3"/>
        <v>0</v>
      </c>
      <c r="I56" s="556"/>
      <c r="J56" s="557">
        <v>10</v>
      </c>
      <c r="K56" s="243">
        <v>0</v>
      </c>
      <c r="L56" s="243">
        <f t="shared" si="4"/>
        <v>0</v>
      </c>
      <c r="M56" s="1244"/>
      <c r="N56" s="1138"/>
      <c r="O56" s="1138"/>
      <c r="P56" s="1241"/>
      <c r="Q56" s="1138"/>
      <c r="R56" s="1138"/>
      <c r="S56" s="1241"/>
      <c r="T56" s="760"/>
      <c r="U56">
        <v>1531600000</v>
      </c>
      <c r="V56">
        <v>1410120385</v>
      </c>
    </row>
    <row r="57" spans="2:20" ht="90">
      <c r="B57" s="1104"/>
      <c r="C57" s="419" t="s">
        <v>785</v>
      </c>
      <c r="D57" s="613" t="s">
        <v>248</v>
      </c>
      <c r="E57" s="1204"/>
      <c r="F57" s="557">
        <v>100</v>
      </c>
      <c r="G57" s="243">
        <v>100</v>
      </c>
      <c r="H57" s="243">
        <f t="shared" si="3"/>
        <v>100</v>
      </c>
      <c r="I57" s="556"/>
      <c r="J57" s="557">
        <v>100</v>
      </c>
      <c r="K57" s="243">
        <v>100</v>
      </c>
      <c r="L57" s="243">
        <f t="shared" si="4"/>
        <v>100</v>
      </c>
      <c r="M57" s="1244"/>
      <c r="N57" s="1138"/>
      <c r="O57" s="1138"/>
      <c r="P57" s="1241"/>
      <c r="Q57" s="1138"/>
      <c r="R57" s="1138"/>
      <c r="S57" s="1241"/>
      <c r="T57" s="602"/>
    </row>
    <row r="58" spans="2:20" ht="90">
      <c r="B58" s="1104"/>
      <c r="C58" s="606" t="s">
        <v>523</v>
      </c>
      <c r="D58" s="606" t="s">
        <v>524</v>
      </c>
      <c r="E58" s="1232" t="s">
        <v>786</v>
      </c>
      <c r="F58" s="115">
        <v>1</v>
      </c>
      <c r="G58" s="115">
        <v>3</v>
      </c>
      <c r="H58" s="115">
        <v>100</v>
      </c>
      <c r="I58" s="87"/>
      <c r="J58" s="115">
        <v>2</v>
      </c>
      <c r="K58" s="115">
        <v>3</v>
      </c>
      <c r="L58" s="115">
        <v>100</v>
      </c>
      <c r="M58" s="1244"/>
      <c r="N58" s="1138"/>
      <c r="O58" s="1138"/>
      <c r="P58" s="1241"/>
      <c r="Q58" s="1138"/>
      <c r="R58" s="1138"/>
      <c r="S58" s="1241"/>
      <c r="T58" s="109"/>
    </row>
    <row r="59" spans="2:20" ht="54">
      <c r="B59" s="1104"/>
      <c r="C59" s="606" t="s">
        <v>525</v>
      </c>
      <c r="D59" s="157" t="s">
        <v>526</v>
      </c>
      <c r="E59" s="1233"/>
      <c r="F59" s="608">
        <v>5</v>
      </c>
      <c r="G59" s="608">
        <v>5</v>
      </c>
      <c r="H59" s="608">
        <f>(+G59/F59)*100</f>
        <v>100</v>
      </c>
      <c r="I59" s="768"/>
      <c r="J59" s="769">
        <v>10</v>
      </c>
      <c r="K59" s="608">
        <v>10</v>
      </c>
      <c r="L59" s="608">
        <f>(+K59/J59)*100</f>
        <v>100</v>
      </c>
      <c r="M59" s="1244"/>
      <c r="N59" s="1138"/>
      <c r="O59" s="1138"/>
      <c r="P59" s="1241"/>
      <c r="Q59" s="1138"/>
      <c r="R59" s="1138"/>
      <c r="S59" s="1241"/>
      <c r="T59" s="109"/>
    </row>
    <row r="60" spans="2:20" ht="38.25" customHeight="1">
      <c r="B60" s="1104"/>
      <c r="C60" s="1077" t="s">
        <v>527</v>
      </c>
      <c r="D60" s="606" t="s">
        <v>528</v>
      </c>
      <c r="E60" s="1233"/>
      <c r="F60" s="608">
        <v>3</v>
      </c>
      <c r="G60" s="608">
        <v>3</v>
      </c>
      <c r="H60" s="608">
        <f>(+G60/F60)*100</f>
        <v>100</v>
      </c>
      <c r="I60" s="768"/>
      <c r="J60" s="769">
        <v>10</v>
      </c>
      <c r="K60" s="608">
        <v>10</v>
      </c>
      <c r="L60" s="608">
        <f>(+K60/J60)*100</f>
        <v>100</v>
      </c>
      <c r="M60" s="1244"/>
      <c r="N60" s="1138"/>
      <c r="O60" s="1138"/>
      <c r="P60" s="1241"/>
      <c r="Q60" s="1138"/>
      <c r="R60" s="1138"/>
      <c r="S60" s="1241"/>
      <c r="T60" s="109"/>
    </row>
    <row r="61" spans="2:20" ht="55.5" customHeight="1">
      <c r="B61" s="1104"/>
      <c r="C61" s="1089"/>
      <c r="D61" s="606" t="s">
        <v>529</v>
      </c>
      <c r="E61" s="1233"/>
      <c r="F61" s="608">
        <v>10</v>
      </c>
      <c r="G61" s="608">
        <v>5</v>
      </c>
      <c r="H61" s="608">
        <f>(+G61/F61)*100</f>
        <v>50</v>
      </c>
      <c r="I61" s="768"/>
      <c r="J61" s="769">
        <v>10</v>
      </c>
      <c r="K61" s="608">
        <v>6</v>
      </c>
      <c r="L61" s="608">
        <f>(+K61/J61)*100</f>
        <v>60</v>
      </c>
      <c r="M61" s="1244"/>
      <c r="N61" s="1138"/>
      <c r="O61" s="1138"/>
      <c r="P61" s="1241"/>
      <c r="Q61" s="1138"/>
      <c r="R61" s="1138"/>
      <c r="S61" s="1241"/>
      <c r="T61" s="109"/>
    </row>
    <row r="62" spans="2:20" ht="36">
      <c r="B62" s="1104"/>
      <c r="C62" s="1078"/>
      <c r="D62" s="606" t="s">
        <v>530</v>
      </c>
      <c r="E62" s="1233"/>
      <c r="F62" s="608">
        <v>10</v>
      </c>
      <c r="G62" s="608">
        <v>10</v>
      </c>
      <c r="H62" s="608">
        <f>(+G62/F62)*100</f>
        <v>100</v>
      </c>
      <c r="I62" s="768"/>
      <c r="J62" s="769">
        <v>10</v>
      </c>
      <c r="K62" s="608">
        <v>10</v>
      </c>
      <c r="L62" s="608">
        <f>(+K62/J62)*100</f>
        <v>100</v>
      </c>
      <c r="M62" s="1244"/>
      <c r="N62" s="1138"/>
      <c r="O62" s="1138"/>
      <c r="P62" s="1241"/>
      <c r="Q62" s="1138"/>
      <c r="R62" s="1138"/>
      <c r="S62" s="1241"/>
      <c r="T62" s="109"/>
    </row>
    <row r="63" spans="2:20" ht="36">
      <c r="B63" s="1104"/>
      <c r="C63" s="606" t="s">
        <v>531</v>
      </c>
      <c r="D63" s="606" t="s">
        <v>262</v>
      </c>
      <c r="E63" s="1233"/>
      <c r="F63" s="608">
        <v>1</v>
      </c>
      <c r="G63" s="608">
        <v>1</v>
      </c>
      <c r="H63" s="608">
        <f>(+G63/F63)*100</f>
        <v>100</v>
      </c>
      <c r="I63" s="768"/>
      <c r="J63" s="769">
        <v>2</v>
      </c>
      <c r="K63" s="608">
        <v>2</v>
      </c>
      <c r="L63" s="608">
        <f>(+K63/J63)*100</f>
        <v>100</v>
      </c>
      <c r="M63" s="1244"/>
      <c r="N63" s="1138"/>
      <c r="O63" s="1138"/>
      <c r="P63" s="1241"/>
      <c r="Q63" s="1138"/>
      <c r="R63" s="1138"/>
      <c r="S63" s="1241"/>
      <c r="T63" s="109"/>
    </row>
    <row r="64" spans="2:20" ht="35.25" customHeight="1" thickBot="1">
      <c r="B64" s="1104"/>
      <c r="C64" s="420" t="s">
        <v>234</v>
      </c>
      <c r="D64" s="420" t="s">
        <v>403</v>
      </c>
      <c r="E64" s="1234"/>
      <c r="F64" s="418">
        <v>250</v>
      </c>
      <c r="G64" s="608">
        <v>300</v>
      </c>
      <c r="H64" s="608">
        <v>100</v>
      </c>
      <c r="I64" s="768"/>
      <c r="J64" s="769">
        <v>2000</v>
      </c>
      <c r="K64" s="608">
        <v>2468</v>
      </c>
      <c r="L64" s="608">
        <v>100</v>
      </c>
      <c r="M64" s="1244"/>
      <c r="N64" s="1138"/>
      <c r="O64" s="1138"/>
      <c r="P64" s="1241"/>
      <c r="Q64" s="1138"/>
      <c r="R64" s="1138"/>
      <c r="S64" s="1241"/>
      <c r="T64" s="109"/>
    </row>
    <row r="65" spans="2:20" ht="28.5" customHeight="1" thickBot="1">
      <c r="B65" s="1105"/>
      <c r="C65" s="1246" t="s">
        <v>659</v>
      </c>
      <c r="D65" s="1247"/>
      <c r="E65" s="1248"/>
      <c r="F65" s="761">
        <v>1800</v>
      </c>
      <c r="G65" s="762"/>
      <c r="H65" s="762">
        <f>SUM(H47:H64)</f>
        <v>1602.3809523809523</v>
      </c>
      <c r="I65" s="762">
        <f>(+H65/F65)*100</f>
        <v>89.02116402116401</v>
      </c>
      <c r="J65" s="762">
        <v>1800</v>
      </c>
      <c r="K65" s="762"/>
      <c r="L65" s="652">
        <f>SUM(L47:L64)</f>
        <v>1660</v>
      </c>
      <c r="M65" s="1245"/>
      <c r="N65" s="1139"/>
      <c r="O65" s="1139"/>
      <c r="P65" s="1242"/>
      <c r="Q65" s="1139"/>
      <c r="R65" s="1139"/>
      <c r="S65" s="1242"/>
      <c r="T65" s="652">
        <f>(+L65/J65)*100</f>
        <v>92.22222222222223</v>
      </c>
    </row>
    <row r="67" ht="11.25" customHeight="1"/>
  </sheetData>
  <sheetProtection/>
  <mergeCells count="53">
    <mergeCell ref="P47:P65"/>
    <mergeCell ref="N44:S44"/>
    <mergeCell ref="O47:O65"/>
    <mergeCell ref="E31:E35"/>
    <mergeCell ref="E58:E64"/>
    <mergeCell ref="C43:E43"/>
    <mergeCell ref="C39:C40"/>
    <mergeCell ref="E39:E42"/>
    <mergeCell ref="S47:S65"/>
    <mergeCell ref="M47:M65"/>
    <mergeCell ref="R47:R65"/>
    <mergeCell ref="D44:M44"/>
    <mergeCell ref="Q47:Q65"/>
    <mergeCell ref="B46:T46"/>
    <mergeCell ref="O7:O43"/>
    <mergeCell ref="N7:N43"/>
    <mergeCell ref="E7:E17"/>
    <mergeCell ref="E18:E27"/>
    <mergeCell ref="B44:B45"/>
    <mergeCell ref="T44:T45"/>
    <mergeCell ref="C36:C38"/>
    <mergeCell ref="E36:E38"/>
    <mergeCell ref="E28:E30"/>
    <mergeCell ref="B2:T2"/>
    <mergeCell ref="B3:T3"/>
    <mergeCell ref="T4:T5"/>
    <mergeCell ref="B4:B5"/>
    <mergeCell ref="D4:M4"/>
    <mergeCell ref="C19:C20"/>
    <mergeCell ref="B7:B17"/>
    <mergeCell ref="B18:B43"/>
    <mergeCell ref="C24:C25"/>
    <mergeCell ref="B6:T6"/>
    <mergeCell ref="C22:C23"/>
    <mergeCell ref="Q7:Q43"/>
    <mergeCell ref="N4:S4"/>
    <mergeCell ref="C12:C15"/>
    <mergeCell ref="C7:C11"/>
    <mergeCell ref="R7:R43"/>
    <mergeCell ref="S7:S43"/>
    <mergeCell ref="P7:P43"/>
    <mergeCell ref="C16:C18"/>
    <mergeCell ref="M7:M43"/>
    <mergeCell ref="B47:B54"/>
    <mergeCell ref="B55:B65"/>
    <mergeCell ref="N47:N65"/>
    <mergeCell ref="C47:C49"/>
    <mergeCell ref="C50:C51"/>
    <mergeCell ref="C60:C62"/>
    <mergeCell ref="E47:E51"/>
    <mergeCell ref="E52:E54"/>
    <mergeCell ref="E55:E57"/>
    <mergeCell ref="C65:E65"/>
  </mergeCells>
  <printOptions/>
  <pageMargins left="0.1968503937007874" right="0.1968503937007874" top="0.1968503937007874" bottom="0.1968503937007874" header="0" footer="0"/>
  <pageSetup horizontalDpi="300" verticalDpi="300" orientation="landscape" scale="59" r:id="rId1"/>
  <rowBreaks count="3" manualBreakCount="3">
    <brk id="17" min="1" max="19" man="1"/>
    <brk id="43" min="1" max="19" man="1"/>
    <brk id="54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14"/>
  <sheetViews>
    <sheetView view="pageBreakPreview" zoomScale="75" zoomScaleNormal="75" zoomScaleSheetLayoutView="75" zoomScalePageLayoutView="0" workbookViewId="0" topLeftCell="A10">
      <selection activeCell="U11" sqref="U11:V11"/>
    </sheetView>
  </sheetViews>
  <sheetFormatPr defaultColWidth="11.421875" defaultRowHeight="12.75"/>
  <cols>
    <col min="1" max="1" width="2.7109375" style="0" customWidth="1"/>
    <col min="2" max="3" width="24.140625" style="0" customWidth="1"/>
    <col min="4" max="4" width="42.57421875" style="0" customWidth="1"/>
    <col min="5" max="5" width="32.57421875" style="0" customWidth="1"/>
    <col min="6" max="6" width="6.57421875" style="0" customWidth="1"/>
    <col min="7" max="7" width="9.28125" style="0" customWidth="1"/>
    <col min="8" max="8" width="9.7109375" style="1" customWidth="1"/>
    <col min="9" max="9" width="8.8515625" style="1" customWidth="1"/>
    <col min="10" max="10" width="9.00390625" style="1" customWidth="1"/>
    <col min="11" max="11" width="9.28125" style="1" customWidth="1"/>
    <col min="12" max="12" width="9.140625" style="0" customWidth="1"/>
    <col min="13" max="13" width="9.28125" style="0" customWidth="1"/>
    <col min="14" max="14" width="5.57421875" style="0" customWidth="1"/>
    <col min="15" max="15" width="8.8515625" style="0" customWidth="1"/>
    <col min="16" max="16" width="9.57421875" style="0" customWidth="1"/>
    <col min="17" max="17" width="6.140625" style="0" customWidth="1"/>
    <col min="18" max="18" width="5.28125" style="0" customWidth="1"/>
    <col min="19" max="19" width="8.8515625" style="0" customWidth="1"/>
    <col min="20" max="20" width="7.140625" style="0" customWidth="1"/>
    <col min="21" max="22" width="12.00390625" style="0" bestFit="1" customWidth="1"/>
  </cols>
  <sheetData>
    <row r="1" ht="13.5" thickBot="1"/>
    <row r="2" spans="2:20" ht="40.5" customHeight="1" thickBot="1">
      <c r="B2" s="874" t="s">
        <v>464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6"/>
    </row>
    <row r="3" spans="2:20" ht="20.25" customHeight="1" thickBot="1">
      <c r="B3" s="874" t="s">
        <v>970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6"/>
    </row>
    <row r="4" spans="2:20" ht="26.25" customHeight="1" thickBot="1">
      <c r="B4" s="874" t="s">
        <v>1000</v>
      </c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6"/>
    </row>
    <row r="5" spans="2:20" ht="24" customHeight="1" thickBot="1">
      <c r="B5" s="1252" t="s">
        <v>695</v>
      </c>
      <c r="C5" s="11"/>
      <c r="D5" s="911" t="s">
        <v>293</v>
      </c>
      <c r="E5" s="913"/>
      <c r="F5" s="913"/>
      <c r="G5" s="913"/>
      <c r="H5" s="913"/>
      <c r="I5" s="913"/>
      <c r="J5" s="913"/>
      <c r="K5" s="913"/>
      <c r="L5" s="913"/>
      <c r="M5" s="914"/>
      <c r="N5" s="874" t="s">
        <v>543</v>
      </c>
      <c r="O5" s="875"/>
      <c r="P5" s="875"/>
      <c r="Q5" s="875"/>
      <c r="R5" s="875"/>
      <c r="S5" s="876"/>
      <c r="T5" s="1265" t="s">
        <v>269</v>
      </c>
    </row>
    <row r="6" spans="2:20" ht="409.5" customHeight="1" thickBot="1">
      <c r="B6" s="1253"/>
      <c r="C6" s="12" t="s">
        <v>439</v>
      </c>
      <c r="D6" s="17" t="s">
        <v>307</v>
      </c>
      <c r="E6" s="17" t="s">
        <v>294</v>
      </c>
      <c r="F6" s="14" t="s">
        <v>271</v>
      </c>
      <c r="G6" s="14" t="s">
        <v>272</v>
      </c>
      <c r="H6" s="15" t="s">
        <v>284</v>
      </c>
      <c r="I6" s="14" t="s">
        <v>285</v>
      </c>
      <c r="J6" s="14" t="s">
        <v>482</v>
      </c>
      <c r="K6" s="14" t="s">
        <v>286</v>
      </c>
      <c r="L6" s="16" t="s">
        <v>287</v>
      </c>
      <c r="M6" s="14" t="s">
        <v>288</v>
      </c>
      <c r="N6" s="14" t="s">
        <v>270</v>
      </c>
      <c r="O6" s="15" t="s">
        <v>289</v>
      </c>
      <c r="P6" s="14" t="s">
        <v>290</v>
      </c>
      <c r="Q6" s="14" t="s">
        <v>488</v>
      </c>
      <c r="R6" s="40" t="s">
        <v>291</v>
      </c>
      <c r="S6" s="41" t="s">
        <v>292</v>
      </c>
      <c r="T6" s="1266"/>
    </row>
    <row r="7" spans="2:20" ht="52.5" customHeight="1" thickBot="1">
      <c r="B7" s="1273" t="s">
        <v>434</v>
      </c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5"/>
    </row>
    <row r="8" spans="2:20" ht="64.5" customHeight="1">
      <c r="B8" s="1249" t="s">
        <v>433</v>
      </c>
      <c r="C8" s="257" t="s">
        <v>237</v>
      </c>
      <c r="D8" s="604" t="s">
        <v>414</v>
      </c>
      <c r="E8" s="1257" t="s">
        <v>419</v>
      </c>
      <c r="F8" s="773" t="s">
        <v>56</v>
      </c>
      <c r="G8" s="773" t="s">
        <v>56</v>
      </c>
      <c r="H8" s="773" t="s">
        <v>56</v>
      </c>
      <c r="I8" s="774"/>
      <c r="J8" s="774">
        <v>1</v>
      </c>
      <c r="K8" s="773">
        <v>1</v>
      </c>
      <c r="L8" s="774">
        <f aca="true" t="shared" si="0" ref="L8:L13">(K8/J8)*100</f>
        <v>100</v>
      </c>
      <c r="M8" s="1254">
        <v>100</v>
      </c>
      <c r="N8" s="1267">
        <v>4850699991</v>
      </c>
      <c r="O8" s="1270">
        <v>4666679086</v>
      </c>
      <c r="P8" s="1254">
        <f>(+O8/N8)*100</f>
        <v>96.20630207307332</v>
      </c>
      <c r="Q8" s="1267">
        <f>(16679200000+3280000000+1377000000)</f>
        <v>21336200000</v>
      </c>
      <c r="R8" s="1270">
        <f>(1598381453+1447927770+1510854599+O8+1562918798+1589314942+8898608255)</f>
        <v>21274684903</v>
      </c>
      <c r="S8" s="1254">
        <f>(+R8/Q8)*100</f>
        <v>99.71168672490884</v>
      </c>
      <c r="T8" s="784"/>
    </row>
    <row r="9" spans="2:20" ht="108" customHeight="1">
      <c r="B9" s="1250"/>
      <c r="C9" s="782" t="s">
        <v>238</v>
      </c>
      <c r="D9" s="775" t="s">
        <v>413</v>
      </c>
      <c r="E9" s="1258"/>
      <c r="F9" s="396">
        <v>1</v>
      </c>
      <c r="G9" s="396">
        <v>1</v>
      </c>
      <c r="H9" s="776">
        <f>(+G9/F9)*100</f>
        <v>100</v>
      </c>
      <c r="I9" s="777"/>
      <c r="J9" s="777">
        <v>4</v>
      </c>
      <c r="K9" s="396">
        <v>4</v>
      </c>
      <c r="L9" s="776">
        <f t="shared" si="0"/>
        <v>100</v>
      </c>
      <c r="M9" s="1255"/>
      <c r="N9" s="1268"/>
      <c r="O9" s="1271"/>
      <c r="P9" s="1255"/>
      <c r="Q9" s="1268"/>
      <c r="R9" s="1271"/>
      <c r="S9" s="1255"/>
      <c r="T9" s="785"/>
    </row>
    <row r="10" spans="2:20" ht="65.25" customHeight="1">
      <c r="B10" s="1250"/>
      <c r="C10" s="782" t="s">
        <v>239</v>
      </c>
      <c r="D10" s="775" t="s">
        <v>415</v>
      </c>
      <c r="E10" s="1258"/>
      <c r="F10" s="396">
        <v>1</v>
      </c>
      <c r="G10" s="396">
        <v>1</v>
      </c>
      <c r="H10" s="776">
        <f>(+G10/F10)*100</f>
        <v>100</v>
      </c>
      <c r="I10" s="777"/>
      <c r="J10" s="777">
        <v>4</v>
      </c>
      <c r="K10" s="396">
        <v>4</v>
      </c>
      <c r="L10" s="776">
        <f t="shared" si="0"/>
        <v>100</v>
      </c>
      <c r="M10" s="1255"/>
      <c r="N10" s="1268"/>
      <c r="O10" s="1271"/>
      <c r="P10" s="1255"/>
      <c r="Q10" s="1268"/>
      <c r="R10" s="1271"/>
      <c r="S10" s="1255"/>
      <c r="T10" s="786"/>
    </row>
    <row r="11" spans="2:22" ht="75.75" customHeight="1">
      <c r="B11" s="1250"/>
      <c r="C11" s="782" t="s">
        <v>240</v>
      </c>
      <c r="D11" s="775" t="s">
        <v>416</v>
      </c>
      <c r="E11" s="1259"/>
      <c r="F11" s="396">
        <v>2</v>
      </c>
      <c r="G11" s="396">
        <v>2</v>
      </c>
      <c r="H11" s="776">
        <f>(+G11/F11)*100</f>
        <v>100</v>
      </c>
      <c r="I11" s="777"/>
      <c r="J11" s="777">
        <v>6</v>
      </c>
      <c r="K11" s="396">
        <v>6</v>
      </c>
      <c r="L11" s="776">
        <f t="shared" si="0"/>
        <v>100</v>
      </c>
      <c r="M11" s="1255"/>
      <c r="N11" s="1268"/>
      <c r="O11" s="1271"/>
      <c r="P11" s="1255"/>
      <c r="Q11" s="1268"/>
      <c r="R11" s="1271"/>
      <c r="S11" s="1255"/>
      <c r="T11" s="786"/>
      <c r="U11">
        <v>21336200000</v>
      </c>
      <c r="V11">
        <v>21274684903</v>
      </c>
    </row>
    <row r="12" spans="2:20" ht="129.75" customHeight="1">
      <c r="B12" s="1250"/>
      <c r="C12" s="611" t="s">
        <v>241</v>
      </c>
      <c r="D12" s="775" t="s">
        <v>522</v>
      </c>
      <c r="E12" s="1260" t="s">
        <v>432</v>
      </c>
      <c r="F12" s="396">
        <v>3</v>
      </c>
      <c r="G12" s="396">
        <v>3</v>
      </c>
      <c r="H12" s="776">
        <f>(+G12/F12)*100</f>
        <v>100</v>
      </c>
      <c r="I12" s="777"/>
      <c r="J12" s="777">
        <v>12</v>
      </c>
      <c r="K12" s="396">
        <v>12</v>
      </c>
      <c r="L12" s="776">
        <f t="shared" si="0"/>
        <v>100</v>
      </c>
      <c r="M12" s="1255"/>
      <c r="N12" s="1268"/>
      <c r="O12" s="1271"/>
      <c r="P12" s="1255"/>
      <c r="Q12" s="1268"/>
      <c r="R12" s="1271"/>
      <c r="S12" s="1255"/>
      <c r="T12" s="786"/>
    </row>
    <row r="13" spans="2:20" ht="66" customHeight="1" thickBot="1">
      <c r="B13" s="1251"/>
      <c r="C13" s="783" t="s">
        <v>242</v>
      </c>
      <c r="D13" s="778" t="s">
        <v>417</v>
      </c>
      <c r="E13" s="1261"/>
      <c r="F13" s="779">
        <v>1</v>
      </c>
      <c r="G13" s="779">
        <v>1</v>
      </c>
      <c r="H13" s="776">
        <f>(+G13/F13)*100</f>
        <v>100</v>
      </c>
      <c r="I13" s="777"/>
      <c r="J13" s="777">
        <v>6</v>
      </c>
      <c r="K13" s="779">
        <v>6</v>
      </c>
      <c r="L13" s="776">
        <f t="shared" si="0"/>
        <v>100</v>
      </c>
      <c r="M13" s="1256"/>
      <c r="N13" s="1269"/>
      <c r="O13" s="1272"/>
      <c r="P13" s="1256"/>
      <c r="Q13" s="1269"/>
      <c r="R13" s="1272"/>
      <c r="S13" s="1256"/>
      <c r="T13" s="786"/>
    </row>
    <row r="14" spans="2:20" ht="32.25" customHeight="1" thickBot="1">
      <c r="B14" s="787"/>
      <c r="C14" s="1262" t="s">
        <v>659</v>
      </c>
      <c r="D14" s="1263"/>
      <c r="E14" s="1264"/>
      <c r="F14" s="788">
        <v>500</v>
      </c>
      <c r="G14" s="781"/>
      <c r="H14" s="781">
        <f>SUM(H9:H13)</f>
        <v>500</v>
      </c>
      <c r="I14" s="789">
        <f>(+H14/F14)*100</f>
        <v>100</v>
      </c>
      <c r="J14" s="780">
        <v>600</v>
      </c>
      <c r="K14" s="781"/>
      <c r="L14" s="790">
        <f>SUM(L8:L13)</f>
        <v>600</v>
      </c>
      <c r="M14" s="791"/>
      <c r="N14" s="791"/>
      <c r="O14" s="791"/>
      <c r="P14" s="791"/>
      <c r="Q14" s="791"/>
      <c r="R14" s="791"/>
      <c r="S14" s="791"/>
      <c r="T14" s="792">
        <f>(+L14/J14)*100</f>
        <v>100</v>
      </c>
    </row>
  </sheetData>
  <sheetProtection/>
  <mergeCells count="19">
    <mergeCell ref="C14:E14"/>
    <mergeCell ref="T5:T6"/>
    <mergeCell ref="N8:N13"/>
    <mergeCell ref="Q8:Q13"/>
    <mergeCell ref="O8:O13"/>
    <mergeCell ref="P8:P13"/>
    <mergeCell ref="R8:R13"/>
    <mergeCell ref="S8:S13"/>
    <mergeCell ref="B7:T7"/>
    <mergeCell ref="B4:T4"/>
    <mergeCell ref="B2:T2"/>
    <mergeCell ref="B3:T3"/>
    <mergeCell ref="B8:B13"/>
    <mergeCell ref="B5:B6"/>
    <mergeCell ref="D5:M5"/>
    <mergeCell ref="M8:M13"/>
    <mergeCell ref="E8:E11"/>
    <mergeCell ref="E12:E13"/>
    <mergeCell ref="N5:S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</dc:creator>
  <cp:keywords/>
  <dc:description/>
  <cp:lastModifiedBy>Sistemas cardique</cp:lastModifiedBy>
  <cp:lastPrinted>2013-02-22T15:08:28Z</cp:lastPrinted>
  <dcterms:created xsi:type="dcterms:W3CDTF">2005-07-28T14:20:49Z</dcterms:created>
  <dcterms:modified xsi:type="dcterms:W3CDTF">2013-03-18T19:23:40Z</dcterms:modified>
  <cp:category/>
  <cp:version/>
  <cp:contentType/>
  <cp:contentStatus/>
</cp:coreProperties>
</file>