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24226"/>
  <mc:AlternateContent xmlns:mc="http://schemas.openxmlformats.org/markup-compatibility/2006">
    <mc:Choice Requires="x15">
      <x15ac:absPath xmlns:x15ac="http://schemas.microsoft.com/office/spreadsheetml/2010/11/ac" url="C:\Users\pc1\Desktop\CARDIQUE YESID\2019\InfGesCardique 2019 en constYACR\"/>
    </mc:Choice>
  </mc:AlternateContent>
  <xr:revisionPtr revIDLastSave="0" documentId="13_ncr:1_{D0EFD3D3-0F8B-43B1-9D7D-95B6220D364A}" xr6:coauthVersionLast="45" xr6:coauthVersionMax="45" xr10:uidLastSave="{00000000-0000-0000-0000-000000000000}"/>
  <bookViews>
    <workbookView xWindow="-120" yWindow="-120" windowWidth="20730" windowHeight="11160" tabRatio="597" xr2:uid="{00000000-000D-0000-FFFF-FFFF00000000}"/>
  </bookViews>
  <sheets>
    <sheet name="2019" sheetId="28" r:id="rId1"/>
    <sheet name=" Resumen Porcentual" sheetId="29" r:id="rId2"/>
  </sheets>
  <externalReferences>
    <externalReference r:id="rId3"/>
  </externalReferences>
  <definedNames>
    <definedName name="_xlnm.Print_Area" localSheetId="1">' Resumen Porcentual'!$B$1:$K$59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9" i="29" l="1"/>
  <c r="I60" i="29" s="1"/>
  <c r="M42" i="29"/>
  <c r="I38" i="29"/>
  <c r="H38" i="29"/>
  <c r="H59" i="29" s="1"/>
  <c r="F40" i="29"/>
  <c r="F41" i="29"/>
  <c r="F38" i="29"/>
  <c r="E38" i="29"/>
  <c r="D38" i="29"/>
  <c r="E59" i="29" l="1"/>
  <c r="D59" i="29"/>
  <c r="J56" i="29"/>
  <c r="K57" i="29" s="1"/>
  <c r="F56" i="29"/>
  <c r="J55" i="29"/>
  <c r="F55" i="29"/>
  <c r="G57" i="29" s="1"/>
  <c r="J53" i="29"/>
  <c r="F53" i="29"/>
  <c r="J52" i="29"/>
  <c r="F52" i="29"/>
  <c r="G54" i="29" s="1"/>
  <c r="J51" i="29"/>
  <c r="F51" i="29"/>
  <c r="J49" i="29"/>
  <c r="K50" i="29" s="1"/>
  <c r="F49" i="29"/>
  <c r="G50" i="29" s="1"/>
  <c r="J47" i="29"/>
  <c r="F47" i="29"/>
  <c r="J46" i="29"/>
  <c r="F46" i="29"/>
  <c r="G48" i="29" s="1"/>
  <c r="J44" i="29"/>
  <c r="F44" i="29"/>
  <c r="J43" i="29"/>
  <c r="K45" i="29" s="1"/>
  <c r="F43" i="29"/>
  <c r="G45" i="29" s="1"/>
  <c r="J41" i="29"/>
  <c r="J40" i="29"/>
  <c r="J38" i="29"/>
  <c r="J22" i="29"/>
  <c r="J21" i="29"/>
  <c r="K23" i="29" s="1"/>
  <c r="J20" i="29"/>
  <c r="J18" i="29"/>
  <c r="K19" i="29" s="1"/>
  <c r="G26" i="29"/>
  <c r="F25" i="29"/>
  <c r="F24" i="29"/>
  <c r="F22" i="29"/>
  <c r="F21" i="29"/>
  <c r="G23" i="29" s="1"/>
  <c r="F20" i="29"/>
  <c r="F18" i="29"/>
  <c r="G19" i="29" s="1"/>
  <c r="K48" i="29" l="1"/>
  <c r="K42" i="29"/>
  <c r="J59" i="29"/>
  <c r="G42" i="29"/>
  <c r="G59" i="29" s="1"/>
  <c r="K54" i="29"/>
  <c r="F59" i="29"/>
  <c r="K59" i="29" l="1"/>
  <c r="G136" i="28"/>
  <c r="F130" i="28"/>
  <c r="K18" i="28"/>
  <c r="F18" i="28"/>
  <c r="I28" i="29" l="1"/>
  <c r="H28" i="29"/>
  <c r="E28" i="29"/>
  <c r="D28" i="29"/>
  <c r="J25" i="29"/>
  <c r="J24" i="29"/>
  <c r="J16" i="29"/>
  <c r="F16" i="29"/>
  <c r="J15" i="29"/>
  <c r="F15" i="29"/>
  <c r="J13" i="29"/>
  <c r="F13" i="29"/>
  <c r="J12" i="29"/>
  <c r="F12" i="29"/>
  <c r="J10" i="29"/>
  <c r="F10" i="29"/>
  <c r="J9" i="29"/>
  <c r="F9" i="29"/>
  <c r="J8" i="29"/>
  <c r="K11" i="29" s="1"/>
  <c r="F8" i="29"/>
  <c r="J7" i="29"/>
  <c r="F7" i="29"/>
  <c r="I225" i="28"/>
  <c r="H225" i="28"/>
  <c r="J224" i="28"/>
  <c r="J223" i="28"/>
  <c r="K223" i="28" s="1"/>
  <c r="J222" i="28"/>
  <c r="J221" i="28"/>
  <c r="J220" i="28"/>
  <c r="J219" i="28"/>
  <c r="K219" i="28" s="1"/>
  <c r="J218" i="28"/>
  <c r="K217" i="28"/>
  <c r="J217" i="28"/>
  <c r="J216" i="28"/>
  <c r="J215" i="28"/>
  <c r="K215" i="28" s="1"/>
  <c r="J214" i="28"/>
  <c r="J213" i="28"/>
  <c r="J212" i="28"/>
  <c r="J211" i="28"/>
  <c r="F181" i="28"/>
  <c r="D212" i="28"/>
  <c r="D213" i="28"/>
  <c r="D214" i="28"/>
  <c r="D215" i="28"/>
  <c r="D216" i="28"/>
  <c r="D217" i="28"/>
  <c r="E217" i="28" s="1"/>
  <c r="D218" i="28"/>
  <c r="D219" i="28"/>
  <c r="E219" i="28" s="1"/>
  <c r="D220" i="28"/>
  <c r="D221" i="28"/>
  <c r="D222" i="28"/>
  <c r="D223" i="28"/>
  <c r="D224" i="28"/>
  <c r="D211" i="28"/>
  <c r="B225" i="28"/>
  <c r="C225" i="28"/>
  <c r="Q36" i="28"/>
  <c r="P36" i="28"/>
  <c r="P202" i="28" s="1"/>
  <c r="J28" i="29" l="1"/>
  <c r="K14" i="29"/>
  <c r="K17" i="29"/>
  <c r="K26" i="29"/>
  <c r="G14" i="29"/>
  <c r="G17" i="29"/>
  <c r="G11" i="29"/>
  <c r="E223" i="28"/>
  <c r="E215" i="28"/>
  <c r="E220" i="28"/>
  <c r="F28" i="29"/>
  <c r="K220" i="28"/>
  <c r="K211" i="28"/>
  <c r="J225" i="28"/>
  <c r="D225" i="28"/>
  <c r="E211" i="28"/>
  <c r="K28" i="29" l="1"/>
  <c r="G28" i="29"/>
  <c r="F47" i="28"/>
  <c r="E208" i="28" l="1"/>
  <c r="D10" i="28"/>
  <c r="I201" i="28"/>
  <c r="F107" i="28"/>
  <c r="F122" i="28"/>
  <c r="F120" i="28"/>
  <c r="F45" i="28" l="1"/>
  <c r="N202" i="28" l="1"/>
  <c r="M202" i="28"/>
  <c r="I202" i="28"/>
  <c r="J199" i="28"/>
  <c r="K199" i="28" s="1"/>
  <c r="F199" i="28"/>
  <c r="J198" i="28"/>
  <c r="K198" i="28" s="1"/>
  <c r="F198" i="28"/>
  <c r="K197" i="28"/>
  <c r="F197" i="28"/>
  <c r="J196" i="28"/>
  <c r="K196" i="28" s="1"/>
  <c r="F196" i="28"/>
  <c r="K195" i="28"/>
  <c r="F195" i="28"/>
  <c r="K194" i="28"/>
  <c r="F194" i="28"/>
  <c r="J193" i="28"/>
  <c r="K193" i="28" s="1"/>
  <c r="F193" i="28"/>
  <c r="K192" i="28"/>
  <c r="F192" i="28"/>
  <c r="J191" i="28"/>
  <c r="K191" i="28" s="1"/>
  <c r="F191" i="28"/>
  <c r="Q190" i="28"/>
  <c r="R190" i="28" s="1"/>
  <c r="O190" i="28"/>
  <c r="K190" i="28"/>
  <c r="F190" i="28"/>
  <c r="F201" i="28" s="1"/>
  <c r="G201" i="28" s="1"/>
  <c r="J187" i="28"/>
  <c r="K187" i="28" s="1"/>
  <c r="F187" i="28"/>
  <c r="J186" i="28"/>
  <c r="F186" i="28"/>
  <c r="J185" i="28"/>
  <c r="K185" i="28" s="1"/>
  <c r="F185" i="28"/>
  <c r="J184" i="28"/>
  <c r="K184" i="28" s="1"/>
  <c r="F184" i="28"/>
  <c r="J183" i="28"/>
  <c r="K183" i="28" s="1"/>
  <c r="F183" i="28"/>
  <c r="J182" i="28"/>
  <c r="K182" i="28" s="1"/>
  <c r="F182" i="28"/>
  <c r="J181" i="28"/>
  <c r="K181" i="28" s="1"/>
  <c r="J180" i="28"/>
  <c r="K180" i="28" s="1"/>
  <c r="F180" i="28"/>
  <c r="J179" i="28"/>
  <c r="K179" i="28" s="1"/>
  <c r="F179" i="28"/>
  <c r="J178" i="28"/>
  <c r="F178" i="28"/>
  <c r="J177" i="28"/>
  <c r="F177" i="28"/>
  <c r="J176" i="28"/>
  <c r="K176" i="28" s="1"/>
  <c r="F176" i="28"/>
  <c r="Q175" i="28"/>
  <c r="R175" i="28" s="1"/>
  <c r="O175" i="28"/>
  <c r="J175" i="28"/>
  <c r="F175" i="28"/>
  <c r="J171" i="28"/>
  <c r="K171" i="28" s="1"/>
  <c r="F171" i="28"/>
  <c r="J170" i="28"/>
  <c r="K170" i="28" s="1"/>
  <c r="F170" i="28"/>
  <c r="J169" i="28"/>
  <c r="K169" i="28" s="1"/>
  <c r="F169" i="28"/>
  <c r="J168" i="28"/>
  <c r="K168" i="28" s="1"/>
  <c r="F168" i="28"/>
  <c r="J167" i="28"/>
  <c r="K167" i="28" s="1"/>
  <c r="F167" i="28"/>
  <c r="J166" i="28"/>
  <c r="K166" i="28" s="1"/>
  <c r="F166" i="28"/>
  <c r="J165" i="28"/>
  <c r="K165" i="28" s="1"/>
  <c r="F165" i="28"/>
  <c r="J164" i="28"/>
  <c r="K164" i="28" s="1"/>
  <c r="F164" i="28"/>
  <c r="J163" i="28"/>
  <c r="K163" i="28" s="1"/>
  <c r="F163" i="28"/>
  <c r="J162" i="28"/>
  <c r="K162" i="28" s="1"/>
  <c r="F162" i="28"/>
  <c r="K161" i="28"/>
  <c r="K160" i="28"/>
  <c r="J159" i="28"/>
  <c r="K159" i="28" s="1"/>
  <c r="F159" i="28"/>
  <c r="J158" i="28"/>
  <c r="K158" i="28" s="1"/>
  <c r="F158" i="28"/>
  <c r="K157" i="28"/>
  <c r="K156" i="28"/>
  <c r="K155" i="28"/>
  <c r="F155" i="28"/>
  <c r="K154" i="28"/>
  <c r="K153" i="28"/>
  <c r="K152" i="28"/>
  <c r="K151" i="28"/>
  <c r="J150" i="28"/>
  <c r="K150" i="28" s="1"/>
  <c r="F150" i="28"/>
  <c r="J149" i="28"/>
  <c r="K149" i="28" s="1"/>
  <c r="F149" i="28"/>
  <c r="K148" i="28"/>
  <c r="F148" i="28"/>
  <c r="K147" i="28"/>
  <c r="F147" i="28"/>
  <c r="J146" i="28"/>
  <c r="F146" i="28"/>
  <c r="K145" i="28"/>
  <c r="F145" i="28"/>
  <c r="F144" i="28"/>
  <c r="Q143" i="28"/>
  <c r="R143" i="28" s="1"/>
  <c r="O143" i="28"/>
  <c r="J143" i="28"/>
  <c r="K143" i="28" s="1"/>
  <c r="K172" i="28" s="1"/>
  <c r="L172" i="28" s="1"/>
  <c r="F143" i="28"/>
  <c r="R138" i="28"/>
  <c r="O138" i="28"/>
  <c r="J138" i="28"/>
  <c r="K138" i="28" s="1"/>
  <c r="F138" i="28"/>
  <c r="J135" i="28"/>
  <c r="K135" i="28" s="1"/>
  <c r="F135" i="28"/>
  <c r="J134" i="28"/>
  <c r="K134" i="28" s="1"/>
  <c r="J133" i="28"/>
  <c r="K133" i="28" s="1"/>
  <c r="F133" i="28"/>
  <c r="J132" i="28"/>
  <c r="K132" i="28" s="1"/>
  <c r="F132" i="28"/>
  <c r="J131" i="28"/>
  <c r="K131" i="28" s="1"/>
  <c r="J130" i="28"/>
  <c r="K130" i="28" s="1"/>
  <c r="J129" i="28"/>
  <c r="K129" i="28" s="1"/>
  <c r="F129" i="28"/>
  <c r="R128" i="28"/>
  <c r="O128" i="28"/>
  <c r="J128" i="28"/>
  <c r="K128" i="28" s="1"/>
  <c r="F128" i="28"/>
  <c r="K123" i="28"/>
  <c r="F123" i="28"/>
  <c r="J122" i="28"/>
  <c r="K122" i="28" s="1"/>
  <c r="J121" i="28"/>
  <c r="K121" i="28" s="1"/>
  <c r="J120" i="28"/>
  <c r="J119" i="28"/>
  <c r="K119" i="28" s="1"/>
  <c r="J118" i="28"/>
  <c r="K118" i="28" s="1"/>
  <c r="J117" i="28"/>
  <c r="K117" i="28" s="1"/>
  <c r="F117" i="28"/>
  <c r="J116" i="28"/>
  <c r="K116" i="28" s="1"/>
  <c r="F116" i="28"/>
  <c r="K115" i="28"/>
  <c r="F115" i="28"/>
  <c r="J114" i="28"/>
  <c r="F114" i="28"/>
  <c r="K113" i="28"/>
  <c r="J112" i="28"/>
  <c r="K112" i="28" s="1"/>
  <c r="J111" i="28"/>
  <c r="K111" i="28" s="1"/>
  <c r="J110" i="28"/>
  <c r="K110" i="28" s="1"/>
  <c r="F110" i="28"/>
  <c r="J109" i="28"/>
  <c r="K109" i="28" s="1"/>
  <c r="J108" i="28"/>
  <c r="K108" i="28" s="1"/>
  <c r="J107" i="28"/>
  <c r="K107" i="28" s="1"/>
  <c r="K106" i="28"/>
  <c r="F106" i="28"/>
  <c r="K105" i="28"/>
  <c r="F105" i="28"/>
  <c r="Q104" i="28"/>
  <c r="R104" i="28" s="1"/>
  <c r="O104" i="28"/>
  <c r="J104" i="28"/>
  <c r="K104" i="28" s="1"/>
  <c r="F104" i="28"/>
  <c r="K98" i="28"/>
  <c r="J97" i="28"/>
  <c r="K97" i="28" s="1"/>
  <c r="J96" i="28"/>
  <c r="K96" i="28" s="1"/>
  <c r="F96" i="28"/>
  <c r="J95" i="28"/>
  <c r="K95" i="28" s="1"/>
  <c r="F95" i="28"/>
  <c r="J94" i="28"/>
  <c r="K94" i="28" s="1"/>
  <c r="F94" i="28"/>
  <c r="J93" i="28"/>
  <c r="K93" i="28" s="1"/>
  <c r="F93" i="28"/>
  <c r="J92" i="28"/>
  <c r="K92" i="28" s="1"/>
  <c r="F92" i="28"/>
  <c r="K91" i="28"/>
  <c r="F91" i="28"/>
  <c r="J90" i="28"/>
  <c r="K90" i="28" s="1"/>
  <c r="F90" i="28"/>
  <c r="J89" i="28"/>
  <c r="K89" i="28" s="1"/>
  <c r="F89" i="28"/>
  <c r="J87" i="28"/>
  <c r="K87" i="28" s="1"/>
  <c r="F87" i="28"/>
  <c r="Q86" i="28"/>
  <c r="R86" i="28" s="1"/>
  <c r="O86" i="28"/>
  <c r="J86" i="28"/>
  <c r="K86" i="28" s="1"/>
  <c r="F86" i="28"/>
  <c r="F99" i="28" s="1"/>
  <c r="G99" i="28" s="1"/>
  <c r="K83" i="28"/>
  <c r="F83" i="28"/>
  <c r="K82" i="28"/>
  <c r="F82" i="28"/>
  <c r="J81" i="28"/>
  <c r="J80" i="28"/>
  <c r="K80" i="28" s="1"/>
  <c r="F80" i="28"/>
  <c r="J79" i="28"/>
  <c r="K79" i="28" s="1"/>
  <c r="F79" i="28"/>
  <c r="J78" i="28"/>
  <c r="K78" i="28" s="1"/>
  <c r="F78" i="28"/>
  <c r="J77" i="28"/>
  <c r="K77" i="28" s="1"/>
  <c r="F77" i="28"/>
  <c r="Q76" i="28"/>
  <c r="R76" i="28" s="1"/>
  <c r="O76" i="28"/>
  <c r="J76" i="28"/>
  <c r="K76" i="28" s="1"/>
  <c r="F76" i="28"/>
  <c r="J71" i="28"/>
  <c r="K71" i="28" s="1"/>
  <c r="F71" i="28"/>
  <c r="J70" i="28"/>
  <c r="K70" i="28" s="1"/>
  <c r="F70" i="28"/>
  <c r="J69" i="28"/>
  <c r="K69" i="28" s="1"/>
  <c r="F69" i="28"/>
  <c r="K68" i="28"/>
  <c r="F68" i="28"/>
  <c r="J67" i="28"/>
  <c r="K67" i="28" s="1"/>
  <c r="F67" i="28"/>
  <c r="J66" i="28"/>
  <c r="K66" i="28" s="1"/>
  <c r="K65" i="28"/>
  <c r="K64" i="28"/>
  <c r="F64" i="28"/>
  <c r="J63" i="28"/>
  <c r="K63" i="28" s="1"/>
  <c r="F63" i="28"/>
  <c r="J62" i="28"/>
  <c r="K62" i="28" s="1"/>
  <c r="F62" i="28"/>
  <c r="Q61" i="28"/>
  <c r="R61" i="28" s="1"/>
  <c r="O61" i="28"/>
  <c r="J61" i="28"/>
  <c r="K61" i="28" s="1"/>
  <c r="F61" i="28"/>
  <c r="F72" i="28" s="1"/>
  <c r="G72" i="28" s="1"/>
  <c r="J58" i="28"/>
  <c r="K58" i="28" s="1"/>
  <c r="F58" i="28"/>
  <c r="J57" i="28"/>
  <c r="K57" i="28" s="1"/>
  <c r="J56" i="28"/>
  <c r="K56" i="28" s="1"/>
  <c r="K55" i="28"/>
  <c r="F55" i="28"/>
  <c r="K54" i="28"/>
  <c r="K53" i="28"/>
  <c r="J52" i="28"/>
  <c r="K52" i="28" s="1"/>
  <c r="F52" i="28"/>
  <c r="J51" i="28"/>
  <c r="K51" i="28" s="1"/>
  <c r="F51" i="28"/>
  <c r="J50" i="28"/>
  <c r="F50" i="28"/>
  <c r="J49" i="28"/>
  <c r="K49" i="28" s="1"/>
  <c r="F49" i="28"/>
  <c r="J48" i="28"/>
  <c r="K48" i="28" s="1"/>
  <c r="F48" i="28"/>
  <c r="J47" i="28"/>
  <c r="K47" i="28" s="1"/>
  <c r="J46" i="28"/>
  <c r="J45" i="28"/>
  <c r="K45" i="28" s="1"/>
  <c r="Q44" i="28"/>
  <c r="R44" i="28" s="1"/>
  <c r="O44" i="28"/>
  <c r="J44" i="28"/>
  <c r="K44" i="28" s="1"/>
  <c r="F44" i="28"/>
  <c r="R19" i="28"/>
  <c r="O19" i="28"/>
  <c r="J39" i="28"/>
  <c r="K39" i="28" s="1"/>
  <c r="F39" i="28"/>
  <c r="J38" i="28"/>
  <c r="K38" i="28" s="1"/>
  <c r="F38" i="28"/>
  <c r="J37" i="28"/>
  <c r="K37" i="28" s="1"/>
  <c r="F37" i="28"/>
  <c r="R36" i="28"/>
  <c r="O36" i="28"/>
  <c r="J36" i="28"/>
  <c r="K36" i="28" s="1"/>
  <c r="K33" i="28"/>
  <c r="J32" i="28"/>
  <c r="K32" i="28" s="1"/>
  <c r="F32" i="28"/>
  <c r="J31" i="28"/>
  <c r="K31" i="28" s="1"/>
  <c r="F31" i="28"/>
  <c r="J30" i="28"/>
  <c r="K30" i="28" s="1"/>
  <c r="F30" i="28"/>
  <c r="K29" i="28"/>
  <c r="J28" i="28"/>
  <c r="K28" i="28" s="1"/>
  <c r="F28" i="28"/>
  <c r="R27" i="28"/>
  <c r="O27" i="28"/>
  <c r="J27" i="28"/>
  <c r="K27" i="28" s="1"/>
  <c r="F27" i="28"/>
  <c r="J24" i="28"/>
  <c r="K24" i="28" s="1"/>
  <c r="F24" i="28"/>
  <c r="K23" i="28"/>
  <c r="R22" i="28"/>
  <c r="K22" i="28"/>
  <c r="K25" i="28" s="1"/>
  <c r="J17" i="28"/>
  <c r="J16" i="28"/>
  <c r="K16" i="28" s="1"/>
  <c r="F16" i="28"/>
  <c r="K15" i="28"/>
  <c r="J14" i="28"/>
  <c r="J13" i="28"/>
  <c r="K13" i="28" s="1"/>
  <c r="F13" i="28"/>
  <c r="J12" i="28"/>
  <c r="K12" i="28" s="1"/>
  <c r="F12" i="28"/>
  <c r="J11" i="28"/>
  <c r="K11" i="28" s="1"/>
  <c r="F11" i="28"/>
  <c r="Q10" i="28"/>
  <c r="O10" i="28"/>
  <c r="J10" i="28"/>
  <c r="F10" i="28"/>
  <c r="D202" i="28"/>
  <c r="C5" i="28"/>
  <c r="B3" i="28"/>
  <c r="K40" i="28" l="1"/>
  <c r="K72" i="28"/>
  <c r="L72" i="28" s="1"/>
  <c r="K99" i="28"/>
  <c r="L99" i="28" s="1"/>
  <c r="F136" i="28"/>
  <c r="K200" i="28"/>
  <c r="K34" i="28"/>
  <c r="L34" i="28" s="1"/>
  <c r="F40" i="28"/>
  <c r="G40" i="28" s="1"/>
  <c r="K84" i="28"/>
  <c r="K188" i="28"/>
  <c r="L188" i="28" s="1"/>
  <c r="F172" i="28"/>
  <c r="G172" i="28" s="1"/>
  <c r="R10" i="28"/>
  <c r="Q202" i="28"/>
  <c r="F84" i="28"/>
  <c r="G84" i="28" s="1"/>
  <c r="F124" i="28"/>
  <c r="G124" i="28" s="1"/>
  <c r="K136" i="28"/>
  <c r="L136" i="28" s="1"/>
  <c r="K124" i="28"/>
  <c r="L124" i="28" s="1"/>
  <c r="K20" i="28"/>
  <c r="L20" i="28" s="1"/>
  <c r="K59" i="28"/>
  <c r="L59" i="28" s="1"/>
  <c r="F188" i="28"/>
  <c r="G188" i="28" s="1"/>
  <c r="F34" i="28"/>
  <c r="G34" i="28" s="1"/>
  <c r="F59" i="28"/>
  <c r="G59" i="28" s="1"/>
  <c r="F20" i="28"/>
  <c r="G20" i="28" s="1"/>
  <c r="F25" i="28"/>
  <c r="G25" i="28" s="1"/>
  <c r="K10" i="28"/>
  <c r="J201" i="28"/>
  <c r="K201" i="28" s="1"/>
  <c r="O202" i="28"/>
  <c r="R202" i="28"/>
  <c r="J202" i="28" l="1"/>
  <c r="K202" i="28" s="1"/>
  <c r="E202" i="28"/>
  <c r="F202" i="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Preferred Customer</author>
    <author>Daniel P</author>
  </authors>
  <commentList>
    <comment ref="B10" authorId="0" shapeId="0" xr:uid="{00000000-0006-0000-0D00-00000100000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 ref="B22" authorId="0" shapeId="0" xr:uid="{00000000-0006-0000-0D00-00000200000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 ref="B27" authorId="0" shapeId="0" xr:uid="{00000000-0006-0000-0D00-00000300000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 ref="B36" authorId="0" shapeId="0" xr:uid="{00000000-0006-0000-0D00-00000400000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 ref="B44" authorId="0" shapeId="0" xr:uid="{00000000-0006-0000-0D00-00000500000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 ref="B61" authorId="0" shapeId="0" xr:uid="{00000000-0006-0000-0D00-00000600000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 ref="B76" authorId="0" shapeId="0" xr:uid="{00000000-0006-0000-0D00-00000700000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 ref="B86" authorId="0" shapeId="0" xr:uid="{00000000-0006-0000-0D00-00000800000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 ref="C93" authorId="1" shapeId="0" xr:uid="{00000000-0006-0000-0D00-000009000000}">
      <text>
        <r>
          <rPr>
            <b/>
            <sz val="9"/>
            <color indexed="81"/>
            <rFont val="Tahoma"/>
            <family val="2"/>
          </rPr>
          <t>Daniel P:</t>
        </r>
        <r>
          <rPr>
            <sz val="9"/>
            <color indexed="81"/>
            <rFont val="Tahoma"/>
            <family val="2"/>
          </rPr>
          <t xml:space="preserve">
Sectores productivos: Hoteleros, Hospitales, Industrial</t>
        </r>
      </text>
    </comment>
    <comment ref="B104" authorId="0" shapeId="0" xr:uid="{00000000-0006-0000-0D00-00000A00000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 ref="B128" authorId="0" shapeId="0" xr:uid="{00000000-0006-0000-0D00-00000B00000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 ref="B138" authorId="0" shapeId="0" xr:uid="{00000000-0006-0000-0D00-00000C00000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 ref="B143" authorId="0" shapeId="0" xr:uid="{00000000-0006-0000-0D00-00000D00000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 ref="B175" authorId="0" shapeId="0" xr:uid="{00000000-0006-0000-0D00-00000E00000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 ref="B190" authorId="0" shapeId="0" xr:uid="{00000000-0006-0000-0D00-00000F000000}">
      <text>
        <r>
          <rPr>
            <b/>
            <sz val="10"/>
            <color indexed="81"/>
            <rFont val="Tahoma"/>
            <family val="2"/>
          </rPr>
          <t xml:space="preserve">Algunas Corporaciones denominan a las ACTIVIDADES como METAS. Para efectos practicos esto no es una dificultad ya que es en este nivel en donde se reportan numericamente los avances de los proyectos con indicadores CUANTIFICABLES asociados a metas específicas, independiente del nombre que se desee utilizar . </t>
        </r>
      </text>
    </comment>
  </commentList>
</comments>
</file>

<file path=xl/sharedStrings.xml><?xml version="1.0" encoding="utf-8"?>
<sst xmlns="http://schemas.openxmlformats.org/spreadsheetml/2006/main" count="638" uniqueCount="486">
  <si>
    <t xml:space="preserve">Fases Ejecutadas 4, 5 y 6. </t>
  </si>
  <si>
    <t>Fase de la estructura del seguimiento insular consolidada</t>
  </si>
  <si>
    <t>Fases Ejecutadas 2.B, 3, 4, 5 y 6</t>
  </si>
  <si>
    <t>Número de hectáreas con PAF con seguimiento</t>
  </si>
  <si>
    <t>Porcentaje de áreas protegidas con planes de manejo en ejecuciónIMG - MADS</t>
  </si>
  <si>
    <t>"Porcentaje de la superficie de áreas protegidas regionales declaradas, homologadas o recategorizadas, inscritas en el RUNAP "</t>
  </si>
  <si>
    <t>Porcentaje de especies amenazadas con medidas de conservación y manejo en ejecuciónIMG - MADS</t>
  </si>
  <si>
    <t>Porcentaje de especies invasoras con medidas de manejo en ejecuciónIMG - MADS</t>
  </si>
  <si>
    <t>"Porcentaje de Planes de Gestión Integral de Residuos Sólidos (PGIRS) con seguimiento a metas de aprovechamiento". IMG - MADS</t>
  </si>
  <si>
    <t>"Porcentaje de Planes de Saneamieno  y Manejo de Vertimiento PSMV con seguimiento"</t>
  </si>
  <si>
    <t>"Porcentaje de redes y estaciones de monitoreo en operación".IMG-MADS</t>
  </si>
  <si>
    <t>Porcentaje de sectores con acompañamiento para la reconversión hacia sistemas sostenibles de producciónIMG-MADS</t>
  </si>
  <si>
    <t>Implementación del programa regional de negocios verdes por la autoridad ambientalIMG - MADS</t>
  </si>
  <si>
    <t xml:space="preserve">"Porcentaje de entes territoriales asesorados en la incorporación, planificación y ejecución de acciones relacionadas con cambio climático en el marco de los instrumentos de planificación territorial" IMG - MADS. </t>
  </si>
  <si>
    <t>"Porcentaje de municipios asesorados o asistidos en la inclusión del componente ambiental en los procesos de planificación y ordenamiento territorial con énfasis en la incorpración de las determinates ambientales para la revisón y ajuste de los POT"IMG -MADS</t>
  </si>
  <si>
    <t xml:space="preserve">"Porcentaje de Avance en la Formulación y/o Ajuste de los Planes de Ordenación y Manejo de Cuencas (POMCAS)." IMG - MADS </t>
  </si>
  <si>
    <t>Porcentaje de cuerpos de agua con plan de ordenamiento del recurso hídrico (PORH) adoptados. IMG -MADS</t>
  </si>
  <si>
    <t xml:space="preserve">"Porcentaje de Planes de Ordenación y Manejo de Cuencas (POMCAS) en ejecución" IMG - MADS </t>
  </si>
  <si>
    <t>"Porcentaje de Programas de Uso Eficiente y Ahorro del Agua (PUEAA) con seguimiento "IMG - MADS</t>
  </si>
  <si>
    <t>Ronda hídrica delimitada</t>
  </si>
  <si>
    <t>ok</t>
  </si>
  <si>
    <t>Conv 017 Sup. Maria Blanco</t>
  </si>
  <si>
    <t>Número de Cuerpos de agua y/o cauces intervenidos</t>
  </si>
  <si>
    <t>Número deReservorios intervenidos</t>
  </si>
  <si>
    <r>
      <t xml:space="preserve">Número de Interconexión realizado. </t>
    </r>
    <r>
      <rPr>
        <sz val="14"/>
        <color indexed="10"/>
        <rFont val="Arial Narrow"/>
        <family val="2"/>
      </rPr>
      <t/>
    </r>
  </si>
  <si>
    <t xml:space="preserve">"Porcentaje de áreas de ecosistemas en restauración, rehabilitación y reforestación". IMG- MADS Art 6 C6 Res 0677/27/04/16  </t>
  </si>
  <si>
    <t>Número de Matenimiento realizado</t>
  </si>
  <si>
    <t>Número de Estudios y diseños realizados</t>
  </si>
  <si>
    <t>Número de Fondo creado</t>
  </si>
  <si>
    <t>Número de Muestras analizadas</t>
  </si>
  <si>
    <t>Número de Apoyo realizado</t>
  </si>
  <si>
    <t>Número de Identificación, vulnerabilidad y reglamentación realizada</t>
  </si>
  <si>
    <t xml:space="preserve"> Municipios beneficiados Número de Reglamentación realizada</t>
  </si>
  <si>
    <t>Número de Localización y determinación realizada</t>
  </si>
  <si>
    <t>Número de Plan y Modelo Adoptado</t>
  </si>
  <si>
    <t>Número de Programa desarrollado</t>
  </si>
  <si>
    <t xml:space="preserve">Número de "Implementación de acciones en Manejo Integrado de Zonas Costeras" IMG - MADS. </t>
  </si>
  <si>
    <t>Número de Plan Formulado</t>
  </si>
  <si>
    <t>Número de Mejoramiento hidráulico dearroyos,  canales y/o descoles que vierten a la Ciénaga de la Virgen.</t>
  </si>
  <si>
    <t>Número de Intervención realizada</t>
  </si>
  <si>
    <t xml:space="preserve"> Número de Interventorías realizadas</t>
  </si>
  <si>
    <t xml:space="preserve"> Número de Proyectos socioproductivos apoyados</t>
  </si>
  <si>
    <t xml:space="preserve">    Actividad No 2.1.1 Restauración de coberturas de manglar en areas priorizadas con vocación para establecer este tipo de cobertura.</t>
  </si>
  <si>
    <t>Hectáreas de Areas revegetalizadas con Mangle</t>
  </si>
  <si>
    <t xml:space="preserve">    Actividad No 2.1.2 Apoyo en el establecimiento de viveros regionales comunitarios</t>
  </si>
  <si>
    <t>Número de Plantulas producidas entregadas.</t>
  </si>
  <si>
    <t xml:space="preserve">    Actividad No 2.1.3 Diseño, construcciòn e implementación de estufas ecológicas que ayuden a disminuir la presión forestal y sean ejemplo de adaptación al cambio climático</t>
  </si>
  <si>
    <t>Número de Familias beneficiadas</t>
  </si>
  <si>
    <t xml:space="preserve">    Actividad No 2.1.4 Realizar proyectos pilotos en actividades Agrosilvopastoril en parcelas que impacten positivamete en la foresta frente al cambio climático</t>
  </si>
  <si>
    <t>Hectáreas de Área intervenida</t>
  </si>
  <si>
    <t xml:space="preserve">    Actividad No 2.1.5 Realización de seguimiento a los Permisos de Aprovechamiento Forestal (PAF)</t>
  </si>
  <si>
    <t>Número de Seguimiento realizado</t>
  </si>
  <si>
    <t xml:space="preserve">    Actividad No 2.1.6 Implementación y seguimiento del “pacto intersectorial por la madera legal en Colombia” en la jurisdicción </t>
  </si>
  <si>
    <t>Porcentaje de la Implementación realizada</t>
  </si>
  <si>
    <t xml:space="preserve">    Actividad No 2.1.7 Diagnóstico y caracterización de áreas de reserva para fortalecer el Sistema Local de Áreas Protegidas (SILAP), Sistema Departamental de Áreas Protegidas (SIDAP), Sistema Regional de Áreas Protegidas (SIRAP) - CARIBE -  Sistema Nacional de Áreas Protegidas(SINAP)</t>
  </si>
  <si>
    <t>Número de Diagnóstico y caracterización realizada</t>
  </si>
  <si>
    <t xml:space="preserve">Hectáreas de Areas susceptibles de protección, restauración y/o conservación. </t>
  </si>
  <si>
    <t xml:space="preserve">    Actividad No 2.1.8 Definición de la figura de protección y su declaratoria de 321,75 hectáreas  como área protegida de Perico y Laguna Municipio de San Juan Nepomuceno</t>
  </si>
  <si>
    <t xml:space="preserve">    Actividad No 2.1.9 Formulación del Plan de Ordenación Forestal de la jurisdicción. Fase I: Inventario (2016) y Diagnostico (2017). Fase II Zonificación y formulación del plan de manejo (2018). </t>
  </si>
  <si>
    <t xml:space="preserve">Fases del Porcentaje de avance en la formulación del Plan de Ordenación Forestal IMG - MADS </t>
  </si>
  <si>
    <t xml:space="preserve">    Actividad No 2.1.10 Revisión (2017) y Ajuste (2018) de la zonificación de manglares según directrices estipulados por el MADS.</t>
  </si>
  <si>
    <t>Etapas Revisión -  Ajuste Realizado</t>
  </si>
  <si>
    <t xml:space="preserve">    Actividad No 2.1.11 Formulación del Plan de Manejo Ambiental de las áreas de manglar  zonificadas.</t>
  </si>
  <si>
    <t xml:space="preserve">Número de Areas Con PMA. </t>
  </si>
  <si>
    <t xml:space="preserve">    Actividad No 2.1.12 Proyecto Ban CO2 -  PNUD  fases: Formulación (2018), Implementación y Seguimiento (2019)</t>
  </si>
  <si>
    <t xml:space="preserve"> Número de Proyecto formulados.</t>
  </si>
  <si>
    <t xml:space="preserve">    Actividad No 2.2.1 Actualización e implementación del plan de conservación del  Manatí. Etapa I: Actaualización etapa II: Implementación, monitoreo y seguimiento del Plan de Manejo.</t>
  </si>
  <si>
    <t xml:space="preserve">Etapas Revisión y Actualizacion Realizadas </t>
  </si>
  <si>
    <t xml:space="preserve">    Actividad No 2.2.2 Recuperación de hábitat para la conservación del Manatí en los ecosistema de la jurisdicción </t>
  </si>
  <si>
    <t xml:space="preserve"> Número de Recuperación realizada</t>
  </si>
  <si>
    <t xml:space="preserve">    Actividad No 2.2.3 Elaboración o ajuste e implementación del Plan de manejo, uso y conservación de cuatro: especies Hicotea (2016), Boa (2017),  Babilla (2018) e Iguana (2019).</t>
  </si>
  <si>
    <t xml:space="preserve">    Actividad No 2.2.4 Campañas de prevención, control y manejo de especies invasoras (Pez León y Caracol Gigante).</t>
  </si>
  <si>
    <t xml:space="preserve">    Actividad No 2.2.5 Zonificación e inventario de especies de fauna vulnerables al tráfico ilegal.</t>
  </si>
  <si>
    <t xml:space="preserve">Número de Inventario, Diagnostico y Zonificación </t>
  </si>
  <si>
    <t xml:space="preserve">    Actividad No 2.2.6 Aunar esfuerzos para contar con un Centro de Atención y Valoración de la Fauna Silvestre (CAVFS)</t>
  </si>
  <si>
    <t xml:space="preserve"> Número de CAVFS Funcionando</t>
  </si>
  <si>
    <t xml:space="preserve">    Actividad No 2.2.7 Valoración económica de los bienes y servicios ambientales (Atractivos turísticos de la jurisdicción (Oceanario  - 2017), (Aviario Nacional - 2018) y  (Artesanías de San Jacinto - 2019)</t>
  </si>
  <si>
    <t xml:space="preserve"> Número de Valoración realizada</t>
  </si>
  <si>
    <t xml:space="preserve">    Actividad No 2.2.8 Fortalecimiento de las alianzas (Acuerdos Voluntario ) para la valoración y manejo de la fauna silvestre Post decomiso (Vivarium del Caribe, Fuerzas Armadas- BAFIM Malagana,  Fundación Omacha, Aviario Nacional de Colombia, Ceiner y Jardín Botánico "Guillermo Piñerez").</t>
  </si>
  <si>
    <t xml:space="preserve"> Número de Acuerdos, Convenios firmados</t>
  </si>
  <si>
    <t xml:space="preserve">    Actividad No 2.2.9 Campaña de prevención, control y manejo a especies susceptibles de trafico ilegal.</t>
  </si>
  <si>
    <t>Número de Cantidad de campañas</t>
  </si>
  <si>
    <t xml:space="preserve">    Actividad No 2.2.10 Identificación y zonificación de especies faunísticas silvestres amenazadas del bosque seco tropical en la jurisdicción (Anfibios - 2016, Reptiles 2017, Aves 2018 y Mamiferos 2019)</t>
  </si>
  <si>
    <t xml:space="preserve"> Número de Zonificación y listado de especies</t>
  </si>
  <si>
    <t xml:space="preserve">    Actividad No 2.2.11 Restauración y repoblamiento con especies ícticas nativas</t>
  </si>
  <si>
    <t>Número deNúmero de Restauración realizada</t>
  </si>
  <si>
    <t xml:space="preserve">    Actividad No 3.1.1 Asesoría a entes territoriales en la normatividad ambiental aplicable a la gestión integral de residuos sólidos, implementación de los PGIRS y adopción e implementación del comparendo ambiental. (Ley 1259 de 2008 y Decretos único 1076 y 1077 de 2015). </t>
  </si>
  <si>
    <t>Número de Asesorías realizadas</t>
  </si>
  <si>
    <t xml:space="preserve">    Actividad No 3.1.2 Fortalecimiento al aprovechamiento y valoarización  de residuos solidos</t>
  </si>
  <si>
    <t xml:space="preserve"> Número de Programa desarrollado</t>
  </si>
  <si>
    <t xml:space="preserve">    Actividad No 3.1.3 Formulación e implementación de proyectos de fomento de la investigación, desarrollo y aplicación de alternativas de tratamiento, aprovechamiento y disposición final de residuos sólidos. (Política GIRS de 1997).</t>
  </si>
  <si>
    <t xml:space="preserve">Número de Programa desarrollado </t>
  </si>
  <si>
    <t xml:space="preserve">    Actividad No 3.1.4 Elaboración y divulgación de material didáctico para la realización de campañas de sensibilización y capacitación a organizaciones comunitarias sobre GIRS. (Políticas y Decretos reglamentarios)</t>
  </si>
  <si>
    <t>Número de Divulgación realizada</t>
  </si>
  <si>
    <t xml:space="preserve">    Actividad No 3.1.5 Campañas de sensibilización y Fomento del aprovechamiento de los residuos sólidos en los municipios de la jurisdicción. (Foro regional, celebración día del de reciclaje, capacitaciones, jornadas de limpieza).</t>
  </si>
  <si>
    <t>Número de Municipios beneficiados</t>
  </si>
  <si>
    <t xml:space="preserve">    Actividad No 3.1.6 Fomento de alternativas de aprovechamiento y disposición final de residuos a nivel regional.</t>
  </si>
  <si>
    <t>Número de Asistencia brindada</t>
  </si>
  <si>
    <t xml:space="preserve">    Actividad No 3.1.7 Seguimiento a las metas de aprovechamiento establecidas en los PGIRS de los municipios de la jurisdicción</t>
  </si>
  <si>
    <t xml:space="preserve">    Actividad No 3.1.8 Seguimiento a los Planes de Saneamiento y Manejo de Vertimientos - PSMV- del distrito de Cartagena y los 20 municpios de la juriicción. </t>
  </si>
  <si>
    <t xml:space="preserve">    Actividad No 3.2.1 Realización mediciones de ruido ambiental en sectores o fuentes generadoras permanentes de contaminación sonora en los Municipios de Arjona, El Carmen de Bolívar, Turbaco, Turbana, Santa Rosa, San Juan Nepomuceno y Distrito de Cartagena en los Corregimientos de Tierra Bomba, La Boquilla, Pasacaballos y Bayunca. (Resolución 627 de 2006).</t>
  </si>
  <si>
    <t>Número de  Mediciones realizadas</t>
  </si>
  <si>
    <t xml:space="preserve">    Actividad No 3.2.2 Realización de operativos de control y seguimiento en la jurisdicción de Cardique a las emisiones por fuentes móviles con empresas que cuenten con equipos y personal idóneo y capacitado técnicamente. La empresa debe estar certificada por el IDEAM. </t>
  </si>
  <si>
    <t xml:space="preserve">  Número de  Operativos realizados/operativos año planeados</t>
  </si>
  <si>
    <t xml:space="preserve">    Actividad No 3.2.3 Realización  de mediciones de calidad de aire del contaminante PM10 (partículas menores de 10 micras) en los municipios de Arjona, El Carmen de Bolívar, Turbaco y distrito de Cartagena - corregimiento de Pasacaballos. (Resolución 610 de 2007).</t>
  </si>
  <si>
    <t>Número de   Monitoreos Realizados</t>
  </si>
  <si>
    <t xml:space="preserve">    Actividad No 3.2.4 Instalación de una red de calidad de aire en el sitio priorizado de la campaña de 2016 (Resolución 610 de 2007).</t>
  </si>
  <si>
    <t xml:space="preserve">    Actividad No 3.2.5 Convenio de producción más limpia y seguimiento con tres sectores (estaciones de servicio, empresas del sector prestación de servicios de salud, lavaderos de autos).</t>
  </si>
  <si>
    <t xml:space="preserve">    Actividad No 3.2.6 Implementación del programa de la interiorización de las políticas de consumo y producción sostenible y la Gestión de la Biodiversidad y sus servicios ecosistémicos en las empresas enmarcadas con programas y proyectos de Negocios verdes o biocomercio en el distrito de Cartagena y  municipios de la jurisdicción. </t>
  </si>
  <si>
    <t xml:space="preserve">    Actividad No 3.2.7 Apoyo a la gestion para la creación e implementación de la Ventanilla de Negocios Verdes de la Corporación para el fomento de una producción más limpia.</t>
  </si>
  <si>
    <t xml:space="preserve">Número de  Ventanilla creada e implementada. </t>
  </si>
  <si>
    <t xml:space="preserve">    Actividad No 3.2.8 Promoción del uso de equipos de refrigeración que no utilicen sustancias agotadoras de ozono - SAO (Reducción de emisiones de gases de efecto invernadero y huella de carbono PND)</t>
  </si>
  <si>
    <t>Número de  Municipios beneficiados</t>
  </si>
  <si>
    <t xml:space="preserve">    Actividad No 3.2.9 Realización de ferias y eventos que promocionen los productos y servicios en el marco de los negocios verdes</t>
  </si>
  <si>
    <t>Número de  Ferias y/o eventos realizados</t>
  </si>
  <si>
    <t xml:space="preserve">    Actividad No 3.2.10 Capacitación y sensibilización sobre  residuos peligrosos – Respel y verificación del registro de generador.</t>
  </si>
  <si>
    <t>Número de  Personas capacitadas y sensibilizadas sobre Respel y verificado el registro de generador en los municipios</t>
  </si>
  <si>
    <t xml:space="preserve">    Actividad No 3.2.11 Capacitación y sensibilización sobre  residuos de aparatos eléctricos y electrónicos  (RAEE) y gestión de llantas usadas.</t>
  </si>
  <si>
    <t>Número de Personas capacitadas</t>
  </si>
  <si>
    <t xml:space="preserve">    Actividad No 3.2.12 Definición y determinación de los indicadores de calidad ambiental urbana ICAU de los municipios de la jurisdicción.</t>
  </si>
  <si>
    <t>Número de  Definidos y determinados los indicadores de calidad ambierntal Urbana ICAU en los municipios.</t>
  </si>
  <si>
    <t xml:space="preserve">    Actividad No 3.2.13 Desarrollo de un manual para el manejo de especies de la biodiversidad en el marco de los mercados verdes y sus procesos productivos</t>
  </si>
  <si>
    <t>Número de  Manual socailizado en empresas</t>
  </si>
  <si>
    <t xml:space="preserve">    Actividad No 4.1.1 Realización de asesoría, asistencia técnica, seguimiento y  talleres de capacitación para funcionarios municipales, concejos municipales, consejos territoriales de planeación, consejos de gestión del riesgo y desastre, gremios, sociedad civil sobre revisión, modificación y ajuste de los POT.</t>
  </si>
  <si>
    <t xml:space="preserve">Número de Talleres realizados. </t>
  </si>
  <si>
    <t xml:space="preserve">    Actividad No 4.1.2 Realización de asesoría, asistencia tecnica y talleres para  la incorporación de la gestión del riesgo en los planes de ordenamiento territorial de la jurisdiccion.</t>
  </si>
  <si>
    <t xml:space="preserve">    Actividad No 4.1.3 Asesoría y asistencia técnica en la promoción  e implementación de políticas referentes a la planeación, el ordenamiento territorial y ambiental dentro del territorio (Leyes 99 de 1993, 388 de 1997, 1523 de 2012 y  1753 de 2015, decretos únicos 1076  y 1077 de  2015 y reglamentarias en esta materia) </t>
  </si>
  <si>
    <t xml:space="preserve">    Actividad No 4.1.4 Apoyo a la gestión y necesidades del Plan de Acción Institucional - PAI y el Banco de Proyecto de la Corporación</t>
  </si>
  <si>
    <t xml:space="preserve">    Actividad No 4.1.5 Apoyo a la Formulación de los POMCAS: “Directos al Caribe Sur - Ciénaga de la Virgen” y “Directos al Bajo Magdalena entre Plato y Calamar (Margen Izquierda - M.I.)”.</t>
  </si>
  <si>
    <t xml:space="preserve">    Actividad No 4.1.6 Apoyo la Formulación de los POMCAS: “La Mojana - Río Cauca (Liderado por Carsucre)” y el “Ajuste del POMCA Canal del Dique (Liderada por CRA).</t>
  </si>
  <si>
    <t xml:space="preserve">    Actividad No 4.1.7 Apoyo la Formulación de los POMCAS: “Directos al Caribe Sur - Ciénaga de la Virgen” y el “Ajuste del POMCA Canal del Dique" - Consulta Previa 2019</t>
  </si>
  <si>
    <t xml:space="preserve">    Actividad No 4.1.8 Ordenamiento del recursos hídrico priorizados (dec 3930 de 2010, primera fase)</t>
  </si>
  <si>
    <t xml:space="preserve">    Actividad No 4.1.9 Elaboración del POMCA arroyos que vierten al caribe norte</t>
  </si>
  <si>
    <t xml:space="preserve">    Actividad No 4.1.10 Implementación de acciones ambientales priorizadas en los POMCAS: “La Mojana - Río Cauca (Liderado por Carsucre)” y el “Ajuste del POMCA Canal del Dique (Liderada por CRA), “Directos al Caribe Sur - Ciénaga de la Virgen” y “Directos al Bajo Magdalena entre Plato y Calamar (Margen Izquierda - M.I.)”..</t>
  </si>
  <si>
    <t xml:space="preserve">    Actividad No 4.1.11 Desarrollo de un programa de uso eficiente del recurso hídrico y adaptación al cambio climático.</t>
  </si>
  <si>
    <t xml:space="preserve">    Actividad No 4.1.12 Acompañamiento, asesoría e implementación de actividades para  la consolidacion de  estrategias que propendan por la mejora de la capacidad de respuesta de los entes territoriales ante  eventos climaticos extremos.</t>
  </si>
  <si>
    <t xml:space="preserve">Número de Entes territoriales beneficiados. </t>
  </si>
  <si>
    <t xml:space="preserve">    Actividad No 4.1.13 Apoyo a la implementación de 4 medidas de adaptación al cambio climático en el Municipio de Santa Catalina de Alejandría, Bolívar, conjuntamente con el Programa Medio Ambiente Colombia PROMAC.</t>
  </si>
  <si>
    <t>Número de Personas benficiadas</t>
  </si>
  <si>
    <t xml:space="preserve">    Actividad No 4.1.14 Desarrollo de un programa de capacitación, prevención, control, mitigación y atención a incendios forestales, ataques de abeja e incidentes con hidrocarburos, material y sustancias peligrosas en el área jurisdicción de Cardique, aunando esfuerzos con el cuerpo de bomberos.</t>
  </si>
  <si>
    <t>Número de Programa implementado</t>
  </si>
  <si>
    <t xml:space="preserve">    Actividad No 4.1.15 Actualización del Plan de Manejo Ambiental de la Ciénaga de la Virgen</t>
  </si>
  <si>
    <t>Número de Actualización realizada</t>
  </si>
  <si>
    <t xml:space="preserve">    Actividad No 4.1.16 Actualización del Plan de Manejo Ambiental de la Ciénaga del Totumo</t>
  </si>
  <si>
    <t xml:space="preserve">    Actividad No 4.1.17 Sistemas alertas tempranas</t>
  </si>
  <si>
    <t>Número de Sistema implementado</t>
  </si>
  <si>
    <t>Número de Seguimiento del Sistema</t>
  </si>
  <si>
    <t xml:space="preserve">    Actividad No 4.1.18 Delimitación de Rondas Hídricas, ley 1450 PND. </t>
  </si>
  <si>
    <t>Número deCuenca con Evaluación Regional del Agua</t>
  </si>
  <si>
    <t xml:space="preserve">    Actividad No 5.1.1 Adquisición de insumos y materiales para funcionamiento del laboratorio.</t>
  </si>
  <si>
    <t>Número de Adquisiciones</t>
  </si>
  <si>
    <t xml:space="preserve">    Actividad No 5.1.2 Realización de mantenimiento preventivo, correctivo y calibracion de equipos</t>
  </si>
  <si>
    <t>Número de Mantenimientos realizados</t>
  </si>
  <si>
    <t xml:space="preserve">    Actividad No 5.1.3 Acreditación del laboratorio ante el IDEAM en la norma ISO 17025:2005</t>
  </si>
  <si>
    <t>Número de Parámetros acreditados</t>
  </si>
  <si>
    <t xml:space="preserve">    Actividad No 5.1.4 Seguimiento a la acreditación del laboratorio ante el IDEAM en la norma ISO 17025:2005</t>
  </si>
  <si>
    <t>Número de Parámetros acreditados y con seguimiento</t>
  </si>
  <si>
    <t xml:space="preserve">    Actividad No 5.1.5 Participación en pruebas interlaboratorios para evaluar capacidad técnica.</t>
  </si>
  <si>
    <t>Número de Participación realizada</t>
  </si>
  <si>
    <t xml:space="preserve">    Actividad No 5.1.6 Reposición y modernización de equipos de calidad del laboratorio</t>
  </si>
  <si>
    <t xml:space="preserve">    Actividad No 5.1.7 Actualización del portafolio de servicios del laboratorio</t>
  </si>
  <si>
    <t>Número de Portafolio actualizado</t>
  </si>
  <si>
    <t xml:space="preserve">    Actividad No 5.1.8 Actualización, implementación y puesta en marcha del software del laboratorio</t>
  </si>
  <si>
    <t xml:space="preserve">Número de Software actualizado </t>
  </si>
  <si>
    <t xml:space="preserve">    Actividad No 5.2.1 Fortalecimiento del SINA,  a través de la realización de convenios con otras CAR´s de la región, el EPA, con el Distrito, los municipios de la jurisdicción, otros entes a nivel departamental, Regional y Nacional como el MADS, la academia, Invemar, gremios, ONGs y Asocars.</t>
  </si>
  <si>
    <t>"Porcentaje de actualización y reporte de la información en el SIAC"IMG - MADS</t>
  </si>
  <si>
    <t xml:space="preserve">    Actividad No 5.2.2 Apoyo a Asocars en las acciones para el mejoramiento de la cooperación horizontal</t>
  </si>
  <si>
    <t xml:space="preserve">    Actividad No 5.2.3 Aportes a ASOCAR’s, conforme a sus estatutos y establecer convenios en virtud de lo establecido en el literal c del articulo 27 de la ley 99 de 1993. </t>
  </si>
  <si>
    <t xml:space="preserve">    Actividad No 5.3.1 Adecuaciones generales de la sede, puestos de trabajo y ampliaciones locativas.</t>
  </si>
  <si>
    <t xml:space="preserve"> Número de Adecuaciones realizadas</t>
  </si>
  <si>
    <t xml:space="preserve">    Actividad No 5.3.2 Reposición y ampliación del parque automotor</t>
  </si>
  <si>
    <t>Número de Vehículos adquiridos</t>
  </si>
  <si>
    <t xml:space="preserve">    Actividad No 5.3.3 Mantenimiento y seguimiento al Sistema Integrado de Gestión - SIGES (Sistema de Calidad – MECI – S-SST) para su mejoramiento continuo.</t>
  </si>
  <si>
    <t>Número de Sistema implementado y con seguimiento</t>
  </si>
  <si>
    <t xml:space="preserve">    Actividad No 5.3.4 Rediseño y actaulización de la pagina web institucional acorde a las necesidades y estipulaciones legislativas de transparencia y atención al ciudadano.</t>
  </si>
  <si>
    <t>Número de Rediseño y actualización realizada</t>
  </si>
  <si>
    <t xml:space="preserve">    Actividad No 5.3.5 Elaboración e implementación de un plan estratégico de comunicaciones internas y externas (Diseño, edición y divulgación de Videos institucionales, Folletos y / o flyers. Material de apoyo por temáticas. Campaña interna de comunicación participación y sentido de pertenencias)</t>
  </si>
  <si>
    <t>Número de Estrategias desarrolladas e Implementada</t>
  </si>
  <si>
    <t xml:space="preserve">    Actividad No 5.3.6 Asesoría para comunicación externa en medios escritos, radiales, televisivos   e internet para el fortalecimiento institucional.</t>
  </si>
  <si>
    <t>Número de Municipios atendidos</t>
  </si>
  <si>
    <t xml:space="preserve">    Actividad No 5.3.7 Diseño, edición y divulgación revista institucional y documentos técnicos</t>
  </si>
  <si>
    <t>Número de Divulgaciones realizadas</t>
  </si>
  <si>
    <t xml:space="preserve">    Actividad No 5.3.8 Implementación y seguimiento del Plan Institucional de Tecnología e Información – PETI</t>
  </si>
  <si>
    <t>Fases de la Plan implementado</t>
  </si>
  <si>
    <t xml:space="preserve">    Actividad No 5.3.9 Entrenamiento en la generación y manejo de información para las áreas temáticas del sistema de información geográfica. </t>
  </si>
  <si>
    <t>Número de Entrenamiento realizado</t>
  </si>
  <si>
    <t xml:space="preserve">    Actividad No 5.3.10 Estructuración cartográfica en formato SIG de la cartografía base y temática existente en los archivos digitales de la Corporación.</t>
  </si>
  <si>
    <t>Número de Estructuración realizadas</t>
  </si>
  <si>
    <t xml:space="preserve">    Actividad No 5.3.11 Adquisicion de Equipos para el area de SIG, con el fin  actualizar e imprimir la Cartografia y Documentacion que se Genera en esta  Dependencia ( Compra de Plotter)</t>
  </si>
  <si>
    <t>Equipos Aquiridos</t>
  </si>
  <si>
    <t xml:space="preserve">    Actividad No 5.3.12 Actualización y soporte de licencias de Arc Gis del SIG - Cardique</t>
  </si>
  <si>
    <t>Número de Actualizaciones realizadas</t>
  </si>
  <si>
    <t xml:space="preserve">    Actividad No 5.3.13 Actualización del plan de gestión documental</t>
  </si>
  <si>
    <t>Número de Plan Actualizado</t>
  </si>
  <si>
    <t xml:space="preserve">    Actividad No 5.3.14 Elaboración del plan de manejo ambiental de las centrales térmicas y su área de influencia</t>
  </si>
  <si>
    <t xml:space="preserve">Número de Plan elaborado </t>
  </si>
  <si>
    <t xml:space="preserve">    Actividad No 5.3.15 Elaboración  y aprobación del Plan de Gestión Ambiental de Cardique  2018 - 2030</t>
  </si>
  <si>
    <t>Número de Plan elaborado</t>
  </si>
  <si>
    <t xml:space="preserve">    Actividad No 5.3.16 Apoyo a la actualización Catastral Municipal en convenio con el IGAC</t>
  </si>
  <si>
    <t xml:space="preserve">    Actividad No 5.3.17 Capacitación sobre tasas retributivas, incentivos para los generadores de vertimientos y seguimiento a la implementación del Decreto 2667 de 2012, decreto 3930 de 2010 y la resolución 0631 de 2015</t>
  </si>
  <si>
    <t>Número de Usuarios capacitados</t>
  </si>
  <si>
    <t xml:space="preserve">    Actividad No 5.3.18 Elaboración, capacitación y divulgación de un manual que contenga los protocolos de procedimiento de control y vigilancia</t>
  </si>
  <si>
    <t>Número de Manual implementado</t>
  </si>
  <si>
    <t xml:space="preserve">    Actividad No 5.3.19 Elaboración del manual de impacto ambiental para obras y/o proyectos realizados por CARDIQUE.</t>
  </si>
  <si>
    <t>Número de Manual elaborado</t>
  </si>
  <si>
    <t xml:space="preserve">    Actividad No 5.3.20 Elaboración, desarrollo y seguimiento del Plan Institucional de Capacitación anual para los funcionarios de la Corporación</t>
  </si>
  <si>
    <t xml:space="preserve">    Actividad No 5.3.21 Actualización y/o seguimiento de la Medición Clima Organización de la Corporacion.</t>
  </si>
  <si>
    <t>Número de Actualizacion Realizada</t>
  </si>
  <si>
    <t xml:space="preserve">    Actividad No 5.3.22 Implementación y/o actualizacion  del Sistema de Gestion de Seguridad y Salud en el Trabajo</t>
  </si>
  <si>
    <t>Número de Sistema con seguimiento</t>
  </si>
  <si>
    <t xml:space="preserve">    Actividad No 5.3.23 Elaboración del Plan de Bienestar, Incentivo y Estimulos de la Corporacion.</t>
  </si>
  <si>
    <t>Número de Plan Elaborado</t>
  </si>
  <si>
    <t xml:space="preserve">    Actividad No 5.3.24 Elaboración del Plan de Vacantes de la Corporacion</t>
  </si>
  <si>
    <t xml:space="preserve">    Actividad No 5.3.25  Elaboración y /o seguimiento del proyeco psicosocial corporativo</t>
  </si>
  <si>
    <t>Plan Elaborado</t>
  </si>
  <si>
    <t xml:space="preserve">    Actividad No 5.3.26 Establecemiento de las Politicas de la Gestión del Talento Humano de la Corporacion</t>
  </si>
  <si>
    <t xml:space="preserve">    Actividad No 5.3.27 Realimentación y seguimiento a la implementación del plan estadístico 2018</t>
  </si>
  <si>
    <t>Número de Plan Actaulizado</t>
  </si>
  <si>
    <t xml:space="preserve">    Actividad No 5.3.28 Diseño e implementación de la Norma ISO 14001: 2015</t>
  </si>
  <si>
    <t>Número de Diseño realizado</t>
  </si>
  <si>
    <t>Número de Implementación realizada</t>
  </si>
  <si>
    <t xml:space="preserve">    Actividad No 6.1.1 Asesoría y seguimiento de los Planes de Educación Ambiental  Municipal y acompañamiento a los Comités Técnicos Interinstitucionales  de Educación Ambiental Municipal. </t>
  </si>
  <si>
    <t xml:space="preserve"> Número de CIDEA funcionando                                     Planes Asesorados</t>
  </si>
  <si>
    <t xml:space="preserve">    Actividad No 6.1.2 Asesoría y acompañamiento para el fortalecimiento organizativo de consejos comunitarios de comunidades negras, incorporando el componente ambiental.</t>
  </si>
  <si>
    <t>Número de  Consejos asesorados</t>
  </si>
  <si>
    <t xml:space="preserve">    Actividad No 6.1.3 Incorporación de la Educación Ambiental en procesos de conservación de especies en estado de amenaza  (Ejemplo: Manatí, Titi, Árbol de Banco, Bosque seco)</t>
  </si>
  <si>
    <t xml:space="preserve">Número de  Programa desarrollado. </t>
  </si>
  <si>
    <t xml:space="preserve">    Actividad No 6.1.4 Fortalecimiento Red Jóvenes de Ambiente y dinamizadores juveniles en la gestión ambiental. Programa de Fortalecimiento de capacidades para la gestión ambiental de niños y jóvenes</t>
  </si>
  <si>
    <t>Número de  Red fortalecida</t>
  </si>
  <si>
    <t xml:space="preserve">    Actividad No 6.1.5 Promoción y celebración de eventos y conmemoración de fechas del calendario ambiental.</t>
  </si>
  <si>
    <t>Número de  Eventos realizados</t>
  </si>
  <si>
    <t xml:space="preserve">    Actividad No 6.1.6 Desarrollo de la estrategia de Aulas de Educación Ambiental para el funcionamiento de aulas ambientales en los municipios de la jurisdicción</t>
  </si>
  <si>
    <t xml:space="preserve"> Número de  Aulas instaladas y en funcionamiento</t>
  </si>
  <si>
    <t xml:space="preserve">    Actividad No 6.1.7 Asesoria y apoyo de un programa de educación ambaiental para la conservación del recurso forestal </t>
  </si>
  <si>
    <t>Número de  Programa desarrollado</t>
  </si>
  <si>
    <t xml:space="preserve">    Actividad No 6.1.8 Educación Ambiental para facilitar el diálogo intercultural para la solución de conflictos socio ambientales</t>
  </si>
  <si>
    <t xml:space="preserve">    Actividad No 6.1.9 Incorporación de la Educación Ambiental en escenarios de postconflicto</t>
  </si>
  <si>
    <t xml:space="preserve">    Actividad No 6.1.10 Incorporación del componente de educación ambiental en proyectos ciudadanos de educacaión ambiental -PROCEDA (comunitarios y empresariales)</t>
  </si>
  <si>
    <t>Número de Proyectos ciudadanos sostenibles</t>
  </si>
  <si>
    <t xml:space="preserve">    Actividad No 6.1.11 Asesoría y acompañamiento para la creación y fortalecimiento de organizaciones comunitarias para la gestión ambiental  (residuos sólidos, pescadores, negocios verdes, ecoturismo, JAC)</t>
  </si>
  <si>
    <t>Número de Organizaciones conformadas
Organizaciones asesoradas</t>
  </si>
  <si>
    <t xml:space="preserve">    Actividad No 6.1.12 Incorporación del componente de comunicación comunitaria en la gestión ambiental local</t>
  </si>
  <si>
    <t>Número de  Municpios benficiados</t>
  </si>
  <si>
    <t xml:space="preserve">    Actividad No 6.1.13 Diseño de materiales de educación eficaces para información, educación y comunicación</t>
  </si>
  <si>
    <t>Número de  Material diseñado</t>
  </si>
  <si>
    <t xml:space="preserve">    Actividad No 6.2.1 Desarrollo de un (1) programa anual de Educación ambiental para la conservación del recurso agua - Promoción de los Clubes Defensores del Agua</t>
  </si>
  <si>
    <t xml:space="preserve">    Actividad No 6.2.2 Acompañamiento la implementación de Proyectos Ambientales Escolares –PRAE en el territorio.</t>
  </si>
  <si>
    <t>Número de  PRAE implementados</t>
  </si>
  <si>
    <t xml:space="preserve">    Actividad No 6.2.3 Desarrollar anualmente cursos de Gestión Ambiental Participativa</t>
  </si>
  <si>
    <t>Número de Cursos Realizados</t>
  </si>
  <si>
    <t xml:space="preserve">    Actividad No 6.2.4 Desarrollo de un Programa de Educación Ambiental en escenarios de postconflicto </t>
  </si>
  <si>
    <t xml:space="preserve">    Actividad No 6.2.5 Diseño, Formulación, Ejecución y Seguimiento de un (1) programa de Educación ambiental en la zona insular de la jurisdicción.</t>
  </si>
  <si>
    <t>Número de Programa Diseñado, formulado, ejecutado y con seguimiento</t>
  </si>
  <si>
    <t xml:space="preserve">    Actividad No 6.2.6 Incorporación de los componentes de investigación, ciencia y tecnología en las instituciones educativas, mediante la implementación del proyecto Ondas Ambientales en convenio con Colciencias</t>
  </si>
  <si>
    <t>Número de Proyectos ondas apoyados y con seguimiento</t>
  </si>
  <si>
    <t xml:space="preserve">    Actividad No 6.2.7 Herramientas de comunicación, divulgación y educación para la toma de decisiones y la promoción de cultura compatible con el clima - PND</t>
  </si>
  <si>
    <t>Número de Herramienta implementada</t>
  </si>
  <si>
    <t xml:space="preserve">    Actividad No 6.2.8 Promoción del Servicio Social Ambiental en las instituciones educativas de la jurisdicción</t>
  </si>
  <si>
    <t>Número de Instituciones educativas asesoradas</t>
  </si>
  <si>
    <t xml:space="preserve">    Actividad No 6.2.9 Educación ambiental sobre impactos ambientales en el área de influencia de las centrales térmicas</t>
  </si>
  <si>
    <t>Número de Barrios beneficiadas</t>
  </si>
  <si>
    <t xml:space="preserve">MATRIZ DE SEGUIMIENTO DEL PLAN DE ACCIÓN
ANEXO No. 1. AVANCE EN LAS METAS FÍSICAS Y FINANCIERAS DEL PLAN DE ACCIÓN  </t>
  </si>
  <si>
    <t>PERIODO REPORTADO:</t>
  </si>
  <si>
    <r>
      <t xml:space="preserve">(1)
PROGRAMAS - PROYECTOS  DEL PLAN DE ACCIÓN 2016-2019 
(inserte filas cuando sea necesario)
</t>
    </r>
    <r>
      <rPr>
        <b/>
        <sz val="10"/>
        <color indexed="10"/>
        <rFont val="Arial Narrow"/>
        <family val="2"/>
      </rPr>
      <t/>
    </r>
  </si>
  <si>
    <t>COMPORTAMIENTO META FISICA 
PLAN DE ACCION</t>
  </si>
  <si>
    <t>META FINANCIERA                                                                                                  PLAN DE ACCION</t>
  </si>
  <si>
    <t>(17)
OBSERVACIONES</t>
  </si>
  <si>
    <t xml:space="preserve">   (2)                                      UNIDAD DE MEDIDA</t>
  </si>
  <si>
    <t>(3)                                      META FISICA ANUAL             (Según unidad de medida)</t>
  </si>
  <si>
    <t>(4)
AVANCE DE LA META
FISICA  (Según unidad de medida y Periodo Evaluado)</t>
  </si>
  <si>
    <t xml:space="preserve">(5)
PORCENTAJE DE AVANCE 
FISICO %
(Periodo Evaluado)
((4/3)*100)
</t>
  </si>
  <si>
    <t>(5-A) DESCRIPCIÓN DEL AVANCE 
(Se puede describir en texto lo que se desea aclarar del avance númerico respectivo)</t>
  </si>
  <si>
    <t>(6)
PORCENTAJE DE AVANCE PROCESO DE GESTION DE LA META
FISICA
(aplica unicamente para el informe del primer semestre)</t>
  </si>
  <si>
    <t xml:space="preserve"> (7)                                                    META FISICA DEL PLAN             (Según unidad de medida)</t>
  </si>
  <si>
    <t>(8)
ACUMULADO DE LA META
FISICA
(Según unidad de medida)</t>
  </si>
  <si>
    <t xml:space="preserve">(9)
PORCENTAJE DE AVANCE 
FISICO ACUMULADO %
((8/7)*100)
</t>
  </si>
  <si>
    <t>(10)               PONDERACIONES DE PROGRAMAS  Y PROYECTOS (OPCIONAL DE ACUERDO AL PLAN DE ACCIÓN)</t>
  </si>
  <si>
    <t>(11)                          META FINANCIERA ANUAL             ($)</t>
  </si>
  <si>
    <t xml:space="preserve">(12)
AVANCE DE LA META
FINANCIERA
(Recursos comprometidos periodo Evaluado)
($)
</t>
  </si>
  <si>
    <t>(13)                           PORCENTAJE DEL AVANCE 
FINANCIERO %
(Periodo Evaluado)
((12/11)*100)</t>
  </si>
  <si>
    <t>(14)                                         META FINANCIERA   DEL PLAN             ($)</t>
  </si>
  <si>
    <t xml:space="preserve">(15)
ACUMULADO DE LA META
FINANCIERA
$
</t>
  </si>
  <si>
    <t xml:space="preserve">(16)
PORCENTAJE DE  AVANCE FINANCIERO ACUMULADO %
((15/14)*100)
</t>
  </si>
  <si>
    <r>
      <t xml:space="preserve">PROGRAMA No 1. </t>
    </r>
    <r>
      <rPr>
        <b/>
        <sz val="8"/>
        <rFont val="Arial Narrow"/>
        <family val="2"/>
      </rPr>
      <t>ADMINISTRACIÓN Y MANEJO DEL RECURSO HÍDRICO</t>
    </r>
  </si>
  <si>
    <r>
      <t xml:space="preserve">Proyecto No 1.1. </t>
    </r>
    <r>
      <rPr>
        <b/>
        <sz val="8"/>
        <rFont val="Arial Narrow"/>
        <family val="2"/>
      </rPr>
      <t>AGUAS SUPERFICIALES CONTINENTALES.</t>
    </r>
  </si>
  <si>
    <t xml:space="preserve">    Actividad No 1.1.1 Realización de trabajos manuales y/o mecánicos para limpieza, mantenimiento y restauración hidrodinámica de ciénagas, canales pluviales y cauces de arroyo de la jurisdicción  (ley 99 de 1993, Art. 31, numeral 19)</t>
  </si>
  <si>
    <r>
      <t xml:space="preserve">Se incrementó la meta financiera y física, Acuerdos </t>
    </r>
    <r>
      <rPr>
        <sz val="8"/>
        <color rgb="FFFF0000"/>
        <rFont val="Arial Narrow"/>
        <family val="2"/>
      </rPr>
      <t>(02 y 03)</t>
    </r>
    <r>
      <rPr>
        <sz val="8"/>
        <rFont val="Arial Narrow"/>
        <family val="2"/>
      </rPr>
      <t xml:space="preserve">  del 13 de marzo de 2019</t>
    </r>
  </si>
  <si>
    <t xml:space="preserve">    Actividad No 1.1.2 Realización de trabajos manuales y/o mecánicos para limpieza, mantenimiento y restauración hidrodinámica de reservorios de la jurisdicción  (ley 99 de 1993, Art. 31, numeral 19)</t>
  </si>
  <si>
    <t xml:space="preserve">    Actividad No 1.1.3 Reestablecimiento de interconexión de cienagas de la jurisdicción de Cardique</t>
  </si>
  <si>
    <t xml:space="preserve">    Actividad No 1.1.4 Realización de trabajos manuales y/o mecánicos para limpieza, mantenimiento y restauración hidrodinámica de la ciénaga de Las Quintas  (ley 99 de 1993, Art. 31, numeral 19)</t>
  </si>
  <si>
    <r>
      <t>Disminución de la meta Física, Acuerdo</t>
    </r>
    <r>
      <rPr>
        <sz val="8"/>
        <color rgb="FFFF0000"/>
        <rFont val="Arial Narrow"/>
        <family val="2"/>
      </rPr>
      <t xml:space="preserve"> 03</t>
    </r>
    <r>
      <rPr>
        <sz val="8"/>
        <rFont val="Arial Narrow"/>
        <family val="2"/>
      </rPr>
      <t xml:space="preserve"> del 13/III/2019</t>
    </r>
  </si>
  <si>
    <t xml:space="preserve">    Actividad No 1.1.5 Estudios y diseñós topograficos e interventorias de trabajos manuales y/o mecánicos de limpieza, mantenimiento y restauración hidrodinámica de reservorios, ciénagas, canales pluviales y cauces de arroyo de la jurisdicción</t>
  </si>
  <si>
    <t xml:space="preserve">    Actividad No 1.1.6 Creación y apoyo a la implementación del Fondo de agua</t>
  </si>
  <si>
    <t xml:space="preserve">    Actividad No 1.1.7 Toma de muestras y/o análisis para seguimiento y monitoreo a estaciones y/o cuerpos de agua de la jurisdicción (continentales, subterráneos y marinos)</t>
  </si>
  <si>
    <t xml:space="preserve">    Actividad No 1.1.8 Apoyo BASIC II "Apoyo BASIC II "Caracterización de la Bahia de Cartagena " "Seguimiento y monitoreo" " </t>
  </si>
  <si>
    <t>::::::::</t>
  </si>
  <si>
    <r>
      <t xml:space="preserve">Proyecto No 1.2. </t>
    </r>
    <r>
      <rPr>
        <b/>
        <sz val="8"/>
        <rFont val="Arial Narrow"/>
        <family val="2"/>
      </rPr>
      <t>AGUAS SUBTERRÁNEAS</t>
    </r>
  </si>
  <si>
    <t xml:space="preserve">    Actividad No 1.2.1 Identificación y vulnerabilidad hidrogeológica de los acuíferos de los municipios de Mahates, Calamar, Arjona  y Marialabaja para conocer el potencial y administrar sosteniblemente el recurso. Y Análisis de la vulnerabilidad de los acuiferos del municipio de Córdoba y del corregimiento de Palenque (Mahates).</t>
  </si>
  <si>
    <t>N.A.</t>
  </si>
  <si>
    <t xml:space="preserve">    Actividad No 1.2.2 Reglamentación de los acuiferos de Turbaco (2016), Córdoba, Mahates, Arjona y Marialabaja (2018)</t>
  </si>
  <si>
    <t>Córdoba Tetón o El Guamo (2019)</t>
  </si>
  <si>
    <r>
      <t xml:space="preserve">Proyecto No 1.3 </t>
    </r>
    <r>
      <rPr>
        <b/>
        <sz val="8"/>
        <rFont val="Arial Narrow"/>
        <family val="2"/>
      </rPr>
      <t>AGUAS MARINO  - COSTERA</t>
    </r>
  </si>
  <si>
    <t xml:space="preserve">    Actividad No 1.3.1 Formulación del Plan de Ordenamiento y Manejo Integrado de la Unidad Ambiental Costera - POMIUAC-RIO MAGDALENA.(Decreto 1120-2013) Fases: 1. Preparación o Aprestamiento (Ecoversa). 2. Caracterización y Diagnostico. 3. Prospectiva y Zonificación Ambiental (Invemar). 4. 2017 Formulación y Adopción. 5. 2018 Implementación o Ejecución. 6. 2019 Seguimiento y Evaluación.</t>
  </si>
  <si>
    <t xml:space="preserve">    Actividad No 1.3.2 Alimentación base de datos Zona Insular (2016), Levantamiento de la línea base de los humedales insulares (2017), Estructura de seguimiento insular para el ejercicio de autoridad ambiental (2018), evaluación y seguimiento (2019)  en cumplimiento y seguimiento de obligaciones de la sentencia del Consejo de Estado y Tribunal Administrativo de Cundinamarca</t>
  </si>
  <si>
    <t xml:space="preserve">    Actividad No 1.3.3 Adopción del Plan de Manejo y del Modelo de Desarrollo Sostenible del Área Marina Protegida </t>
  </si>
  <si>
    <t xml:space="preserve">    Actividad No 1.3.4 Fomento al aprovechamiento y valorización de residuos sólidos</t>
  </si>
  <si>
    <t xml:space="preserve">    Actividad No 1.3.5 Formulación del Plan de Ordenamiento y Manejo Integrado de la Unidad Ambiental Costera - POMIUAC-ESTUARINA DEL RIO SINU Y EL GOLFO DE MORROSQUILLO.(Decreto 1120-2013) Fases: 1. Preparación o Aprestamiento (Ecoversa). 2.A. Area Marina Protegida (vía sentencia: Segunda Instancia del Consejo de Estado; Primera Instancia Tribunal Administrativo de Cundinamarca).                     </t>
  </si>
  <si>
    <t xml:space="preserve">    Actividad No 1.3.6 Aportar información a los entes territoriales información sobre riesgo natuarles con énfasis en  fenómenos marino costero ( erosión, geotenia, diapirismo y ascenso del nivel del mar) para su incorporación en los Planes de Ordenamiento Territorial(POT).</t>
  </si>
  <si>
    <t xml:space="preserve">    Actividad No 1.3.7 Formulación del Plan de Manejo de la Ciénaga de las Quintas (Sentencia de 2010). </t>
  </si>
  <si>
    <t>Caratgena</t>
  </si>
  <si>
    <r>
      <t xml:space="preserve">Proyecto No 1.4.  </t>
    </r>
    <r>
      <rPr>
        <b/>
        <sz val="8"/>
        <rFont val="Arial Narrow"/>
        <family val="2"/>
      </rPr>
      <t>RECUPERACIÓN Y CONSERVACIÓN DEL PARQUE NATURAL DISTRITAL CIÉNAGA DE LA VIRGEN</t>
    </r>
  </si>
  <si>
    <t xml:space="preserve">    Actividad No 1.4.1 Ejecución de obras para al mejoramiento hidráulico y el saneamiento ambiental de los arroyos y canales que vierten hacia la Ciénaga de la Virgen; Los arroyos y canales a intervenir serán los siguientes: Arroyo Ternera, Arroyo Limón, Arroyo La Tabla, Arroyo Tabacal, Arroyo Mesa, Arroyo Hormiga, Arroyo Matagente, Arroyo Calicanto, Arroyo Isla De León, Canal Playa Blanca, Canal Simón Bolívar, Canal Barcelona, Canal San Pablo, Canal Maria Auxiliadora, Canal Maravilla, Canal Magdalena, Canal Once De Nov, Canal Las Flores, , Canal Ricaurte, Canal Chapundúm, Canal Fredonia, Canal Amador y Cortez, Canal Líbano, Canal Salín Bechara, San Martín, Pedro Salazar, La Esperanza, San Francisco, Puerto de Pescadores, Cordialidad, Canal Calicanto, Calicanto Nuevo, San Pedro, Canal Urdaneta, Ciudad Sevilla, Canal Sector Guarapero, Chiquinquirá, Calicanto Viejo, Villa Rosita, Jorge Eliécer Gaitán, Bolívar, La Villa, Foco Rojo, Líbano - Acapulco, Tabú, Gaviotas 1, Bomba Del Tigre, Chepa Sección 1, Chepa Sección 11, Arroyo Chiamaría, Arroyo Flor Del Campo y Descole Canales Ciénaga de la Virgen. Ley 981 de 2005, el literal b) del artículo 21 de la Ley 105 de 1993, modificado parcialmente por la Ley 787 de 2002, Resolución N° 003286 de 2005 del Ministerio de Transorte, Resolución N° 1710 del 15 de noviembre de 2005 del MADS;  acuerdo 009 de 2006 Consejo Directivo de Cardique, ejecución PMA y proyectos del POMCA Ciénaga de la Virgen (Resolución de Cardique No. 0768 de fecha 20 de septiembre de 2005)</t>
  </si>
  <si>
    <t>El 23 de noviembre de 2018 se firma el acta de liquidación del contrato</t>
  </si>
  <si>
    <t xml:space="preserve">    Actividad No 1.4.2 Mejoramiento hidráulico, mantenimento y saneamiento ambiental de los arroyos y canales que vierten hacia la Ciénaga de la Virgen.</t>
  </si>
  <si>
    <t xml:space="preserve">    Actividad No 1.4.3 Interventorías de proyectos, obras o actividades</t>
  </si>
  <si>
    <t>la liquidación unilateral del contrato mediante Resolución No. 0057 del 23 de Enero de 2019</t>
  </si>
  <si>
    <t xml:space="preserve">    Actividad No 1.4.4 Apoyo a proyectos socio productivos</t>
  </si>
  <si>
    <t xml:space="preserve">    Actividad No 1.4.5 Pasivo vigencias expiradas</t>
  </si>
  <si>
    <r>
      <t>PROGRAMA No 2</t>
    </r>
    <r>
      <rPr>
        <b/>
        <sz val="8"/>
        <rFont val="Arial Narrow"/>
        <family val="2"/>
      </rPr>
      <t xml:space="preserve"> ADMINISTRACIÓN Y MANEJO DE LA BIODIVERSIDAD</t>
    </r>
  </si>
  <si>
    <r>
      <t>Proyecto No 2.1.</t>
    </r>
    <r>
      <rPr>
        <b/>
        <sz val="8"/>
        <rFont val="Arial Narrow"/>
        <family val="2"/>
      </rPr>
      <t xml:space="preserve"> USO Y MANEJO DE BOSQUES</t>
    </r>
  </si>
  <si>
    <t>Incrementada 2109. Idem</t>
  </si>
  <si>
    <t>(N.A.) El POF de Cardique fue adoptado en 2018</t>
  </si>
  <si>
    <t>POF adoptado en 2018</t>
  </si>
  <si>
    <t>Logrado en 2017. adoptado en 2018</t>
  </si>
  <si>
    <r>
      <t xml:space="preserve">Proyecto No 2.2. </t>
    </r>
    <r>
      <rPr>
        <b/>
        <sz val="8"/>
        <rFont val="Arial Narrow"/>
        <family val="2"/>
      </rPr>
      <t>USO Y MANEJO DE FAUNA SILVESTRE.</t>
    </r>
  </si>
  <si>
    <t>pendiente terminar proyecto babilla. son 4 especies (100%)</t>
  </si>
  <si>
    <t>Propuesta de convenio con el EPA</t>
  </si>
  <si>
    <t>Convenio Omacha (Manatí)</t>
  </si>
  <si>
    <t>Se trabaja mancomundamente con todas estas y otras (EPA...) entidades sin acuerdos firmados (Coperación horizontal e interinstitucional)</t>
  </si>
  <si>
    <t xml:space="preserve">Omacha </t>
  </si>
  <si>
    <t>Suspensión</t>
  </si>
  <si>
    <r>
      <t>PROGRAMA No 3.</t>
    </r>
    <r>
      <rPr>
        <b/>
        <sz val="8"/>
        <rFont val="Arial Narrow"/>
        <family val="2"/>
      </rPr>
      <t xml:space="preserve"> GESTIÓN AMBIENTAL PARA EL DESARROLLO DE LOS ENTES TERRITORIALES</t>
    </r>
  </si>
  <si>
    <r>
      <t xml:space="preserve">Proyecto No 3.1. </t>
    </r>
    <r>
      <rPr>
        <b/>
        <sz val="8"/>
        <rFont val="Arial Narrow"/>
        <family val="2"/>
      </rPr>
      <t>MANEJO DE RESIDUOS URBANOS</t>
    </r>
  </si>
  <si>
    <r>
      <t xml:space="preserve">Proyecto No 3.2. </t>
    </r>
    <r>
      <rPr>
        <b/>
        <sz val="8"/>
        <rFont val="Arial Narrow"/>
        <family val="2"/>
      </rPr>
      <t>IMPLEMENTACIÓN DE PROCESOS PRODUCTIVOS LIMPIOS Y MERCADOS VERDES</t>
    </r>
  </si>
  <si>
    <t>Cont 079. Sandra Nieto</t>
  </si>
  <si>
    <r>
      <t xml:space="preserve">PROGRAMA No 4. </t>
    </r>
    <r>
      <rPr>
        <b/>
        <sz val="8"/>
        <rFont val="Arial Narrow"/>
        <family val="2"/>
      </rPr>
      <t>ORDENAMIENTO AMBIENTAL Y TERRITORIAL</t>
    </r>
  </si>
  <si>
    <r>
      <t>Proyecto No 4.1.</t>
    </r>
    <r>
      <rPr>
        <b/>
        <sz val="8"/>
        <rFont val="Arial Narrow"/>
        <family val="2"/>
      </rPr>
      <t xml:space="preserve"> PLANEACION Y GESTION INTEGRAL DEL RIESGO</t>
    </r>
  </si>
  <si>
    <t>cont. 97 Supervisor JUAN CAMILO PATERNINA CUESTA</t>
  </si>
  <si>
    <t xml:space="preserve">    Actividad No 4.1.19 Evaluación Regional del Agua. </t>
  </si>
  <si>
    <r>
      <t>PROGRAMA No 5</t>
    </r>
    <r>
      <rPr>
        <b/>
        <sz val="8"/>
        <rFont val="Arial Narrow"/>
        <family val="2"/>
      </rPr>
      <t xml:space="preserve"> FORTALECIMIENTO INSTITUCIONAL</t>
    </r>
  </si>
  <si>
    <r>
      <t>Proyecto No 5.1.</t>
    </r>
    <r>
      <rPr>
        <b/>
        <sz val="8"/>
        <rFont val="Arial Narrow"/>
        <family val="2"/>
      </rPr>
      <t xml:space="preserve"> LABORATORIO DE CALIDAD AMBIENTAL</t>
    </r>
  </si>
  <si>
    <r>
      <t xml:space="preserve">Proyecto No 5.2. </t>
    </r>
    <r>
      <rPr>
        <b/>
        <sz val="8"/>
        <rFont val="Arial Narrow"/>
        <family val="2"/>
      </rPr>
      <t>ARTICULACIÓN DEL SINA.</t>
    </r>
  </si>
  <si>
    <t>Convenio con quince municipios, igual con el EPA, Invemar, fundación Omacha, Universidades (Cartagena y Tecnológica)</t>
  </si>
  <si>
    <t>La Corporación ha asistido a las reuniones de Asocars y ha apoyado en  las realizadas en Cartagena (en el marco de la Asamablea Nacional de Mineros y Acodal - Asociación Colombiaba de Ingeniería Saniatraia y Ambiental)</t>
  </si>
  <si>
    <r>
      <t xml:space="preserve">Proyecto No 5.3.  </t>
    </r>
    <r>
      <rPr>
        <b/>
        <sz val="8"/>
        <rFont val="Arial Narrow"/>
        <family val="2"/>
      </rPr>
      <t>DESARROLLO CORPORATIVO</t>
    </r>
  </si>
  <si>
    <t>Se adoptó a través de Resolución No. 0097 de 30/01/2019</t>
  </si>
  <si>
    <t xml:space="preserve">Se midió el clima durante los meses de mayo y junio de 2019 </t>
  </si>
  <si>
    <r>
      <t>Se suscribe contrato 092 de 2019 con fecha de 25 de junio 2019 y resolución de supervisión N°0998 de 26 de junio 2019</t>
    </r>
    <r>
      <rPr>
        <b/>
        <sz val="8"/>
        <color theme="1"/>
        <rFont val="Arial"/>
        <family val="2"/>
      </rPr>
      <t>.</t>
    </r>
  </si>
  <si>
    <r>
      <t xml:space="preserve">PROGRAMA No 6  </t>
    </r>
    <r>
      <rPr>
        <b/>
        <sz val="8"/>
        <rFont val="Arial Narrow"/>
        <family val="2"/>
      </rPr>
      <t>EDUCACION AMBIENTAL  Y PARTICIPACIÓN SOCIAL</t>
    </r>
  </si>
  <si>
    <r>
      <t xml:space="preserve">Proyecto No 6.1. </t>
    </r>
    <r>
      <rPr>
        <b/>
        <sz val="8"/>
        <rFont val="Arial Narrow"/>
        <family val="2"/>
      </rPr>
      <t>GESTIÓN A PROYECTOS AMBIENTALES.</t>
    </r>
  </si>
  <si>
    <r>
      <t xml:space="preserve">Proyecto No 6.2. </t>
    </r>
    <r>
      <rPr>
        <b/>
        <sz val="8"/>
        <rFont val="Arial Narrow"/>
        <family val="2"/>
      </rPr>
      <t>CONSTRUCCIÓN DE UNA CULTURA AMBIENTAL DESDE LAS ESCUELAS Y LA CUMINIDAD EN GENERAL Y SU ENTORNO</t>
    </r>
    <r>
      <rPr>
        <sz val="8"/>
        <rFont val="Arial Narrow"/>
        <family val="2"/>
      </rPr>
      <t>.</t>
    </r>
  </si>
  <si>
    <t>(18) TOTAL METAS FISICAS Y FINANCIERAS*</t>
  </si>
  <si>
    <t>*El total de las metas fisicas y financieras sera el resultado de una sumatoria, promedios aritmetico o ponderados segun el caso y solo se aplica para las columnas relacionadas con porcentajes de avance y metas financieras.</t>
  </si>
  <si>
    <t xml:space="preserve">Aceptación de Oferta No. 13 y 19. Cont 107. Sup.  Mady Garcia </t>
  </si>
  <si>
    <t>En espera del informe de resultaos de la medición. Cont 103. Sup Liliana S.</t>
  </si>
  <si>
    <t>ojo</t>
  </si>
  <si>
    <t>62% junio</t>
  </si>
  <si>
    <t>78% Agosto</t>
  </si>
  <si>
    <t>Junio</t>
  </si>
  <si>
    <t>Agosto</t>
  </si>
  <si>
    <t>Promoción y preparación para participar en Cartagena y  Bioexpo Pacifico - Cali</t>
  </si>
  <si>
    <t>Octubre</t>
  </si>
  <si>
    <t>Fisico</t>
  </si>
  <si>
    <t>Financiero</t>
  </si>
  <si>
    <t xml:space="preserve">avance </t>
  </si>
  <si>
    <t>%</t>
  </si>
  <si>
    <t>Proyectos</t>
  </si>
  <si>
    <t>Programas</t>
  </si>
  <si>
    <t>Metas periodo</t>
  </si>
  <si>
    <t>Metas años</t>
  </si>
  <si>
    <t xml:space="preserve">Metas </t>
  </si>
  <si>
    <t>2016 - 2019</t>
  </si>
  <si>
    <t>A partir de la consultoría 068 / 2018 se están implementando los perfiles de proyectos, mediante licitación pública etapa I 059/19 abril y etapa II N° 13119 Secop I. Adicional a la interventoria Se ha visitado cada sitio… videos y fotos anexas al informe de gestión 2019 del Cont 59, LicPub de  Obras-Incluye una Interconexión Arroyo  pescadores en Calamar…. Interventoria Cont 65. y  Licitacion pública cont 115</t>
  </si>
  <si>
    <t>Cont 104,  logrado el 100%</t>
  </si>
  <si>
    <t>Avance cero</t>
  </si>
  <si>
    <t xml:space="preserve">    Actividad No 1.2.3 Localización geográfica (inventario de puntos de agua) y determinación para manejo y uso de los pozos subterráneos del municipio de El Carmen de Bolívar en diez de corregimientos priorizados (2016), municipio de Zambrano y sus corregimientos (2017),  Soplaviento (2018) y municipio de Córdoba Tetón (2019) </t>
  </si>
  <si>
    <t>Se realizó en el 2019 en la isla de Tierra Bomba. Por estar realizado el de Córdoba y prioridad de conocimiento</t>
  </si>
  <si>
    <t>Realizado 100% mediante contrato N°069/19</t>
  </si>
  <si>
    <r>
      <rPr>
        <b/>
        <sz val="8"/>
        <rFont val="Arial Narrow"/>
        <family val="2"/>
      </rPr>
      <t>N.A.</t>
    </r>
    <r>
      <rPr>
        <sz val="8"/>
        <rFont val="Arial Narrow"/>
        <family val="2"/>
      </rPr>
      <t xml:space="preserve"> (No Aplica). Actividad lograda 100% en 2018. Consultoria 068 /18</t>
    </r>
  </si>
  <si>
    <t xml:space="preserve">Incluye el convenio 021/19 . Anexo Informe de Gestión </t>
  </si>
  <si>
    <t>Incluye el convenio 021/19 . Anexo Informe de Gestión. Superada la meta</t>
  </si>
  <si>
    <t>Se trabaja en el marco de la secretaria técnica de la POMIUAC</t>
  </si>
  <si>
    <t>Logrado 100%, medante convenio 017/19. Anexo Informe de Gestión 2019</t>
  </si>
  <si>
    <t>Se logra 100%, mediante contrato  053/19</t>
  </si>
  <si>
    <t>Supoerada la meta mediante Contrato 059/19 - incluye 10 obras del sector Ciénaga de la Virgen: Ricaurte, Tabù, Salim Bechara, San Martin, Barcelona, Navidad y Puerto Pescadores, San Pablo, Libano; Bolivar y Maria Auxiliadora</t>
  </si>
  <si>
    <t>Desarrollada mediante contrato 065/19</t>
  </si>
  <si>
    <t>Incluy actividades realizadas medianyte convenio 018/19 y contrato 081/19</t>
  </si>
  <si>
    <t>Logrado 100% mediante contratos N° 0106/19 y 0116/19</t>
  </si>
  <si>
    <t>Meta superada se logra la implementación de 400 estufas, mediante contrato 0124/19</t>
  </si>
  <si>
    <t>Se reduce la meta a contrtar y se logra en 100% (270), mediante convenio 016/19</t>
  </si>
  <si>
    <t>Logrado informe de gestión 2019</t>
  </si>
  <si>
    <t>Esta actividad no se logra realizar y se presupuesta para el año 2020</t>
  </si>
  <si>
    <t>Avance cerol</t>
  </si>
  <si>
    <t>Avance en el 2019 cero</t>
  </si>
  <si>
    <t>Ejecutado mediante contratos N° 82 y 88</t>
  </si>
  <si>
    <t>Artesanías de San Jacinto no cumple con el concepto de bien natural</t>
  </si>
  <si>
    <t>Ejecutado mediante convenio 019/19</t>
  </si>
  <si>
    <t>Ejecutado mediante convenio 019/20</t>
  </si>
  <si>
    <t>Se realizó convenio 019/19 con Omacha</t>
  </si>
  <si>
    <t>Ejecutado mediante convenio 017/19</t>
  </si>
  <si>
    <t>Ejecutado mediante contrato N° 77/19</t>
  </si>
  <si>
    <t>Ejecutado mediante contrato N° 085/19</t>
  </si>
  <si>
    <t>Convenio 074/19</t>
  </si>
  <si>
    <t>Convenio 017/19</t>
  </si>
  <si>
    <t>Convenio 017/20</t>
  </si>
  <si>
    <t>Convenio 017/21</t>
  </si>
  <si>
    <t>Contrato N° 096/19</t>
  </si>
  <si>
    <t>Logrado, anexo informe de gestión 2019</t>
  </si>
  <si>
    <t>Convenio N° 023/19</t>
  </si>
  <si>
    <t>Convenio N° 023/20</t>
  </si>
  <si>
    <t>El avance logrado fue mediante los contratos N° 132/19 y 0134/19</t>
  </si>
  <si>
    <t>Logrado en conjunto con el SENA . Informe de gestión 2019</t>
  </si>
  <si>
    <t>Convenio 079/19</t>
  </si>
  <si>
    <t>Convenio 079/20</t>
  </si>
  <si>
    <t xml:space="preserve">Contratos 0/110/19 y 0117/19 </t>
  </si>
  <si>
    <t>En coordinación con el MADS se desarrollaron campañas.</t>
  </si>
  <si>
    <t>Contrato N° 0100/19</t>
  </si>
  <si>
    <t>Contrato N° 079/19</t>
  </si>
  <si>
    <t>Avance cero, reincoprporada en el presu´puesto 2020</t>
  </si>
  <si>
    <t>Contrato N° 066/19</t>
  </si>
  <si>
    <t>Contrato N° 053/19</t>
  </si>
  <si>
    <t>Contrato N 0119/19</t>
  </si>
  <si>
    <t>Contrato N 097/19</t>
  </si>
  <si>
    <t>No hubo logro</t>
  </si>
  <si>
    <t>No hubo logro se reincorporó al presupuesto2020</t>
  </si>
  <si>
    <t>Convenios N° 001/19 al 015/19</t>
  </si>
  <si>
    <t>Hace parte del POMCA arroyos que vierten en la Zona Norte</t>
  </si>
  <si>
    <t>Contrato N° 0126/19</t>
  </si>
  <si>
    <t>Contrato N°0108/19 y 0112/19,  Ronda hidrica, atrazos por concertación</t>
  </si>
  <si>
    <t>Actividad ya realizada, incluida en los Pomcas</t>
  </si>
  <si>
    <t xml:space="preserve">Aceptación de Oferta No. 009/19 y contratos 0109/19 y 0111/19 </t>
  </si>
  <si>
    <t>Aceptación de Oferta No. 018/19</t>
  </si>
  <si>
    <t>Contrtaciómn 091/19</t>
  </si>
  <si>
    <t>Contrato 0105/19</t>
  </si>
  <si>
    <t xml:space="preserve">Contrato N° 0102/19 </t>
  </si>
  <si>
    <t>Contratos N° 022/19,  072/19, 092/19, 055/19</t>
  </si>
  <si>
    <t>Contratos Nº 012/19, 013/19, 050/19, 051/19, 055/19, 089/19</t>
  </si>
  <si>
    <t>Contratos 052/19, 093/19</t>
  </si>
  <si>
    <t>Convenio 020719</t>
  </si>
  <si>
    <t>Contrato 094719</t>
  </si>
  <si>
    <t>Contrato N° 60/19</t>
  </si>
  <si>
    <t>Contrato N° 99/19</t>
  </si>
  <si>
    <t xml:space="preserve"> Se adoptó a través de Resolución No. 0097 de 30/01/2019</t>
  </si>
  <si>
    <t>Contrato N° 083/19</t>
  </si>
  <si>
    <t>Contrato 095/19</t>
  </si>
  <si>
    <t>Contrato 049/19</t>
  </si>
  <si>
    <t>Convenio 017/19 y contratos  054/19, 064/19, 067/19 y 086/19</t>
  </si>
  <si>
    <t>Contratos N° 056/19</t>
  </si>
  <si>
    <t>Contratos N° 056/19 y 080719</t>
  </si>
  <si>
    <t>Convenio 024/19</t>
  </si>
  <si>
    <t xml:space="preserve">Convenio 017/19 y contratos  083/19, 069/19, 063/19 </t>
  </si>
  <si>
    <t>Convenio 022/19</t>
  </si>
  <si>
    <t>Convenio 017/19 y contratos  054/19</t>
  </si>
  <si>
    <t>Contrato N° 056/19</t>
  </si>
  <si>
    <t>Contrato N° 058/19</t>
  </si>
  <si>
    <t>1.1. Aguas Superficiales Continentales</t>
  </si>
  <si>
    <t>1.2. Aguas Subterráneas</t>
  </si>
  <si>
    <t>1.3. Aguas Marino-Costera</t>
  </si>
  <si>
    <t>1.4 Recuperación y Conservación del Parque Natural Distrital Ciénaga de la Virgen</t>
  </si>
  <si>
    <t>2.1 Uso y Manejo de Bosques</t>
  </si>
  <si>
    <t>2.2 Uso y Manejo de la Fauna Silvestre</t>
  </si>
  <si>
    <t>3.1 Manejo de Residuos Urbanos</t>
  </si>
  <si>
    <t>3.2. Implementación de Procesos Productivos y Mercados Verdes</t>
  </si>
  <si>
    <t>4.1 Planeación y Gestión Integral del Riesgo</t>
  </si>
  <si>
    <t>5.1 Laboratorio de Calidad Ambiental</t>
  </si>
  <si>
    <t>5.2 Articulación del SINA</t>
  </si>
  <si>
    <t>5.3 Consolidación del Desarrollo Corporativo</t>
  </si>
  <si>
    <t>5.FORTALECIMIENTO INSTITUCIONAL</t>
  </si>
  <si>
    <t>6.1 Gestión Proyectos Ambientales</t>
  </si>
  <si>
    <t>6.2 Construcción de una Cultura Ambiental</t>
  </si>
  <si>
    <t>Totales</t>
  </si>
  <si>
    <t>Proyectos/PROGRAMAS</t>
  </si>
  <si>
    <t>CORPORACIÓN AUTÓNOMA REGIONAL DEL CANAL DEL DIQUE - CARDIQUE</t>
  </si>
  <si>
    <t>PLAN DE ACCIÓN INSTITUCIONAL 2016 - 2019</t>
  </si>
  <si>
    <t>AÑO / PERIODO</t>
  </si>
  <si>
    <t xml:space="preserve">Avance </t>
  </si>
  <si>
    <t>Logro del Programa</t>
  </si>
  <si>
    <t>Proyectos / PROGRAMAS</t>
  </si>
  <si>
    <r>
      <t>1.</t>
    </r>
    <r>
      <rPr>
        <b/>
        <sz val="7"/>
        <rFont val="Times New Roman"/>
        <family val="1"/>
      </rPr>
      <t xml:space="preserve">        </t>
    </r>
    <r>
      <rPr>
        <b/>
        <sz val="8"/>
        <rFont val="Arial Narrow"/>
        <family val="2"/>
      </rPr>
      <t>ADMINISTRACIÓN Y MANEJO DEL RECURSO HÍDRICO</t>
    </r>
  </si>
  <si>
    <r>
      <t>2.</t>
    </r>
    <r>
      <rPr>
        <b/>
        <sz val="7"/>
        <rFont val="Times New Roman"/>
        <family val="1"/>
      </rPr>
      <t xml:space="preserve">        </t>
    </r>
    <r>
      <rPr>
        <b/>
        <sz val="8"/>
        <rFont val="Arial Narrow"/>
        <family val="2"/>
      </rPr>
      <t>ADMINISTRACIÓN Y MANEJO DE LA BIODIVERSIDAD</t>
    </r>
  </si>
  <si>
    <r>
      <t>3.</t>
    </r>
    <r>
      <rPr>
        <b/>
        <sz val="7"/>
        <rFont val="Times New Roman"/>
        <family val="1"/>
      </rPr>
      <t xml:space="preserve">        </t>
    </r>
    <r>
      <rPr>
        <b/>
        <sz val="8"/>
        <rFont val="Arial Narrow"/>
        <family val="2"/>
      </rPr>
      <t>GESTIÓN AMBIENTAL PARA EL DESARROLLO DE LOS ENTES TERRITORIALES</t>
    </r>
  </si>
  <si>
    <r>
      <t>4.</t>
    </r>
    <r>
      <rPr>
        <b/>
        <sz val="7"/>
        <rFont val="Times New Roman"/>
        <family val="1"/>
      </rPr>
      <t xml:space="preserve">        </t>
    </r>
    <r>
      <rPr>
        <b/>
        <sz val="8"/>
        <rFont val="Arial Narrow"/>
        <family val="2"/>
      </rPr>
      <t>ORDENAMIENTO AMBIENTAL Y TERRITORIAL</t>
    </r>
  </si>
  <si>
    <r>
      <t>6.</t>
    </r>
    <r>
      <rPr>
        <b/>
        <sz val="7"/>
        <rFont val="Times New Roman"/>
        <family val="1"/>
      </rPr>
      <t xml:space="preserve">        </t>
    </r>
    <r>
      <rPr>
        <b/>
        <sz val="8"/>
        <rFont val="Arial Narrow"/>
        <family val="2"/>
      </rPr>
      <t>EDUCACIÓN AMBIENTAL Y PARTICIPACIÓN SOCIAL</t>
    </r>
  </si>
  <si>
    <r>
      <t xml:space="preserve">EJECUCIÓN PORCENTUAL DE LAS METAS </t>
    </r>
    <r>
      <rPr>
        <b/>
        <sz val="10"/>
        <color rgb="FFFF0000"/>
        <rFont val="Arial"/>
        <family val="2"/>
      </rPr>
      <t xml:space="preserve">FINANCIERAS </t>
    </r>
    <r>
      <rPr>
        <b/>
        <sz val="10"/>
        <rFont val="Arial"/>
        <family val="2"/>
      </rPr>
      <t>AÑO 2019 Y PERIODO 2016 - 2019</t>
    </r>
  </si>
  <si>
    <r>
      <t xml:space="preserve">EJECUCIÓN PORCENTUAL DE LAS METAS </t>
    </r>
    <r>
      <rPr>
        <b/>
        <sz val="10"/>
        <color rgb="FFFF0000"/>
        <rFont val="Arial"/>
        <family val="2"/>
      </rPr>
      <t xml:space="preserve">FÍSICAS </t>
    </r>
    <r>
      <rPr>
        <b/>
        <sz val="10"/>
        <rFont val="Arial"/>
        <family val="2"/>
      </rPr>
      <t>AÑO 2019 Y PERIODO 2016 - 2019</t>
    </r>
  </si>
  <si>
    <t>Vigencia espirada - Canceladas en 2019. Rubro Aguas superficiales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</si>
</sst>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_-;\-* #,##0.00\ _€_-;_-* &quot;-&quot;??\ _€_-;_-@_-"/>
    <numFmt numFmtId="165" formatCode="&quot;$&quot;\ #,##0.00;[Red]&quot;$&quot;\ #,##0.00"/>
    <numFmt numFmtId="166" formatCode="&quot;$&quot;\ #,##0.00_);\(&quot;$&quot;\ #,##0.00\)"/>
    <numFmt numFmtId="167" formatCode="[$$-240A]\ #,##0.00;[Red][$$-240A]\ #,##0.00"/>
    <numFmt numFmtId="168" formatCode="#,##0.00\ _€"/>
    <numFmt numFmtId="169" formatCode="_([$$-240A]\ * #,##0.00_);_([$$-240A]\ * \(#,##0.00\);_([$$-240A]\ * &quot;-&quot;??_);_(@_)"/>
    <numFmt numFmtId="170" formatCode="_-[$$-240A]\ * #,##0.00_-;\-[$$-240A]\ * #,##0.00_-;_-[$$-240A]\ * &quot;-&quot;??_-;_-@_-"/>
  </numFmts>
  <fonts count="30" x14ac:knownFonts="1">
    <font>
      <sz val="10"/>
      <name val="Arial"/>
    </font>
    <font>
      <sz val="10"/>
      <name val="Arial"/>
      <family val="2"/>
    </font>
    <font>
      <sz val="9"/>
      <color indexed="81"/>
      <name val="Tahoma"/>
      <family val="2"/>
    </font>
    <font>
      <b/>
      <sz val="9"/>
      <color indexed="81"/>
      <name val="Tahoma"/>
      <family val="2"/>
    </font>
    <font>
      <sz val="12"/>
      <name val="Arial"/>
      <family val="2"/>
    </font>
    <font>
      <sz val="14"/>
      <color indexed="10"/>
      <name val="Arial Narrow"/>
      <family val="2"/>
    </font>
    <font>
      <sz val="10"/>
      <color theme="1"/>
      <name val="Arial"/>
      <family val="2"/>
    </font>
    <font>
      <sz val="10"/>
      <color rgb="FFFF0000"/>
      <name val="Arial"/>
      <family val="2"/>
    </font>
    <font>
      <sz val="10"/>
      <name val="Arial Narrow"/>
      <family val="2"/>
    </font>
    <font>
      <b/>
      <sz val="10"/>
      <color rgb="FFFF0000"/>
      <name val="Arial"/>
      <family val="2"/>
    </font>
    <font>
      <b/>
      <sz val="10"/>
      <name val="Arial Narrow"/>
      <family val="2"/>
    </font>
    <font>
      <sz val="10"/>
      <name val="Arial"/>
      <family val="2"/>
    </font>
    <font>
      <b/>
      <sz val="10"/>
      <name val="Arial"/>
      <family val="2"/>
    </font>
    <font>
      <sz val="8"/>
      <name val="Arial Narrow"/>
      <family val="2"/>
    </font>
    <font>
      <b/>
      <sz val="8"/>
      <name val="Arial Narrow"/>
      <family val="2"/>
    </font>
    <font>
      <sz val="8"/>
      <color theme="1"/>
      <name val="Arial Narrow"/>
      <family val="2"/>
    </font>
    <font>
      <sz val="8"/>
      <name val="Arial"/>
      <family val="2"/>
    </font>
    <font>
      <sz val="8"/>
      <color theme="1"/>
      <name val="Arial"/>
      <family val="2"/>
    </font>
    <font>
      <b/>
      <sz val="10"/>
      <color indexed="81"/>
      <name val="Tahoma"/>
      <family val="2"/>
    </font>
    <font>
      <sz val="10"/>
      <name val="Arial"/>
      <family val="2"/>
    </font>
    <font>
      <b/>
      <sz val="12"/>
      <name val="Arial Narrow"/>
      <family val="2"/>
    </font>
    <font>
      <b/>
      <sz val="10"/>
      <color indexed="10"/>
      <name val="Arial Narrow"/>
      <family val="2"/>
    </font>
    <font>
      <b/>
      <sz val="11"/>
      <name val="Arial Narrow"/>
      <family val="2"/>
    </font>
    <font>
      <sz val="8"/>
      <color rgb="FFFF0000"/>
      <name val="Arial Narrow"/>
      <family val="2"/>
    </font>
    <font>
      <sz val="8"/>
      <color rgb="FF000000"/>
      <name val="Arial Narrow"/>
      <family val="2"/>
    </font>
    <font>
      <sz val="12"/>
      <color rgb="FFFF0000"/>
      <name val="Arial"/>
      <family val="2"/>
    </font>
    <font>
      <b/>
      <sz val="8"/>
      <name val="Arial"/>
      <family val="2"/>
    </font>
    <font>
      <b/>
      <sz val="8"/>
      <color theme="1"/>
      <name val="Arial"/>
      <family val="2"/>
    </font>
    <font>
      <sz val="10"/>
      <color rgb="FFFF0000"/>
      <name val="Arial Narrow"/>
      <family val="2"/>
    </font>
    <font>
      <b/>
      <sz val="7"/>
      <name val="Times New Roman"/>
      <family val="1"/>
    </font>
  </fonts>
  <fills count="2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14"/>
        <bgColor indexed="64"/>
      </patternFill>
    </fill>
    <fill>
      <patternFill patternType="solid">
        <fgColor theme="2" tint="-0.49998474074526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rgb="FFFF0000"/>
        <bgColor indexed="64"/>
      </patternFill>
    </fill>
    <fill>
      <patternFill patternType="solid">
        <fgColor theme="6" tint="-0.249977111117893"/>
        <bgColor indexed="64"/>
      </patternFill>
    </fill>
    <fill>
      <patternFill patternType="solid">
        <fgColor theme="8" tint="-0.249977111117893"/>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4"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0" fontId="1" fillId="0" borderId="0"/>
    <xf numFmtId="9" fontId="11" fillId="0" borderId="0" applyFont="0" applyFill="0" applyBorder="0" applyAlignment="0" applyProtection="0"/>
    <xf numFmtId="164" fontId="19" fillId="0" borderId="0" applyFont="0" applyFill="0" applyBorder="0" applyAlignment="0" applyProtection="0"/>
  </cellStyleXfs>
  <cellXfs count="206">
    <xf numFmtId="0" fontId="0" fillId="0" borderId="0" xfId="0"/>
    <xf numFmtId="0" fontId="12" fillId="0" borderId="0" xfId="0" applyFont="1"/>
    <xf numFmtId="3" fontId="13" fillId="2" borderId="1" xfId="1" applyNumberFormat="1" applyFont="1" applyFill="1" applyBorder="1" applyAlignment="1">
      <alignment vertical="center" wrapText="1"/>
    </xf>
    <xf numFmtId="0" fontId="15" fillId="2" borderId="1" xfId="0" applyFont="1" applyFill="1" applyBorder="1" applyAlignment="1">
      <alignment horizontal="right" vertical="center" wrapText="1"/>
    </xf>
    <xf numFmtId="0" fontId="13" fillId="2" borderId="1" xfId="0" applyFont="1" applyFill="1" applyBorder="1" applyAlignment="1">
      <alignment vertical="center"/>
    </xf>
    <xf numFmtId="0" fontId="13" fillId="2" borderId="1" xfId="0" applyFont="1" applyFill="1" applyBorder="1" applyAlignment="1">
      <alignment vertical="center" wrapText="1"/>
    </xf>
    <xf numFmtId="0" fontId="15" fillId="2" borderId="1" xfId="0" applyFont="1" applyFill="1" applyBorder="1" applyAlignment="1">
      <alignment horizontal="right" vertical="center"/>
    </xf>
    <xf numFmtId="0" fontId="15" fillId="2" borderId="1" xfId="0" applyFont="1" applyFill="1" applyBorder="1" applyAlignment="1">
      <alignment vertical="center" wrapText="1"/>
    </xf>
    <xf numFmtId="0" fontId="13" fillId="2" borderId="1" xfId="0" applyFont="1" applyFill="1" applyBorder="1" applyAlignment="1">
      <alignment horizontal="right" vertical="center"/>
    </xf>
    <xf numFmtId="0" fontId="15" fillId="2" borderId="1" xfId="0" applyFont="1" applyFill="1" applyBorder="1" applyAlignment="1">
      <alignment vertical="center"/>
    </xf>
    <xf numFmtId="0" fontId="15" fillId="2" borderId="1" xfId="0" applyFont="1" applyFill="1" applyBorder="1" applyAlignment="1">
      <alignment horizontal="center" vertical="center" wrapText="1"/>
    </xf>
    <xf numFmtId="3" fontId="14" fillId="2" borderId="1" xfId="1" applyNumberFormat="1" applyFont="1" applyFill="1" applyBorder="1" applyAlignment="1">
      <alignment vertical="center" wrapText="1"/>
    </xf>
    <xf numFmtId="0" fontId="8" fillId="3" borderId="0" xfId="1" applyFont="1" applyFill="1" applyAlignment="1">
      <alignment vertical="center" wrapText="1"/>
    </xf>
    <xf numFmtId="0" fontId="8" fillId="0" borderId="0" xfId="1" applyFont="1" applyAlignment="1">
      <alignment vertical="center" wrapText="1"/>
    </xf>
    <xf numFmtId="0" fontId="8" fillId="0" borderId="0" xfId="1" applyFont="1" applyAlignment="1">
      <alignment vertical="center"/>
    </xf>
    <xf numFmtId="0" fontId="20" fillId="4" borderId="10" xfId="1" applyFont="1" applyFill="1" applyBorder="1" applyAlignment="1">
      <alignment vertical="center" wrapText="1"/>
    </xf>
    <xf numFmtId="0" fontId="20" fillId="4" borderId="7" xfId="1" applyFont="1" applyFill="1" applyBorder="1" applyAlignment="1">
      <alignment vertical="center" wrapText="1"/>
    </xf>
    <xf numFmtId="0" fontId="20" fillId="4" borderId="8" xfId="1" applyFont="1" applyFill="1" applyBorder="1" applyAlignment="1">
      <alignment vertical="center" wrapText="1"/>
    </xf>
    <xf numFmtId="0" fontId="14" fillId="7" borderId="3" xfId="1" applyFont="1" applyFill="1" applyBorder="1" applyAlignment="1">
      <alignment horizontal="center" vertical="top" wrapText="1"/>
    </xf>
    <xf numFmtId="0" fontId="14" fillId="8" borderId="3" xfId="1" applyFont="1" applyFill="1" applyBorder="1" applyAlignment="1">
      <alignment horizontal="center" vertical="top" wrapText="1"/>
    </xf>
    <xf numFmtId="0" fontId="14" fillId="8" borderId="5" xfId="1" applyFont="1" applyFill="1" applyBorder="1" applyAlignment="1">
      <alignment horizontal="center" vertical="top" wrapText="1"/>
    </xf>
    <xf numFmtId="0" fontId="14" fillId="9" borderId="3" xfId="1" applyFont="1" applyFill="1" applyBorder="1" applyAlignment="1">
      <alignment horizontal="center" vertical="top" wrapText="1"/>
    </xf>
    <xf numFmtId="0" fontId="14" fillId="10" borderId="3" xfId="1" applyFont="1" applyFill="1" applyBorder="1" applyAlignment="1">
      <alignment horizontal="center" vertical="top" wrapText="1"/>
    </xf>
    <xf numFmtId="0" fontId="15" fillId="2" borderId="1" xfId="0" applyFont="1" applyFill="1" applyBorder="1" applyAlignment="1">
      <alignment horizontal="left" vertical="center" wrapText="1"/>
    </xf>
    <xf numFmtId="3" fontId="13" fillId="2" borderId="1" xfId="1" applyNumberFormat="1" applyFont="1" applyFill="1" applyBorder="1" applyAlignment="1">
      <alignment horizontal="right" vertical="center" wrapText="1"/>
    </xf>
    <xf numFmtId="0" fontId="13" fillId="2" borderId="1" xfId="0" applyFont="1" applyFill="1" applyBorder="1" applyAlignment="1">
      <alignment horizontal="left" vertical="center" wrapText="1"/>
    </xf>
    <xf numFmtId="0" fontId="13" fillId="2" borderId="1" xfId="0" applyFont="1" applyFill="1" applyBorder="1" applyAlignment="1">
      <alignment vertical="top" wrapText="1"/>
    </xf>
    <xf numFmtId="0" fontId="16" fillId="2" borderId="1" xfId="0" applyFont="1" applyFill="1" applyBorder="1" applyAlignment="1">
      <alignment vertical="center"/>
    </xf>
    <xf numFmtId="0" fontId="13" fillId="0" borderId="1" xfId="1" applyFont="1" applyBorder="1" applyAlignment="1">
      <alignment vertical="center" wrapText="1"/>
    </xf>
    <xf numFmtId="0" fontId="13" fillId="0" borderId="1" xfId="1" applyFont="1" applyBorder="1" applyAlignment="1">
      <alignment horizontal="right" vertical="center" wrapText="1"/>
    </xf>
    <xf numFmtId="3" fontId="14" fillId="0" borderId="1" xfId="1" applyNumberFormat="1" applyFont="1" applyBorder="1" applyAlignment="1">
      <alignment vertical="center" wrapText="1"/>
    </xf>
    <xf numFmtId="0" fontId="8" fillId="0" borderId="1" xfId="1" applyFont="1" applyBorder="1" applyAlignment="1">
      <alignment vertical="center" wrapText="1"/>
    </xf>
    <xf numFmtId="0" fontId="6" fillId="0" borderId="1" xfId="0" applyFont="1" applyBorder="1" applyAlignment="1">
      <alignment vertical="center" wrapText="1"/>
    </xf>
    <xf numFmtId="0" fontId="4" fillId="2" borderId="0" xfId="0" applyFont="1" applyFill="1" applyAlignment="1">
      <alignment vertical="center" wrapText="1"/>
    </xf>
    <xf numFmtId="0" fontId="4" fillId="2" borderId="0" xfId="0" applyFont="1" applyFill="1" applyAlignment="1">
      <alignment vertical="center" textRotation="90" wrapText="1"/>
    </xf>
    <xf numFmtId="0" fontId="15" fillId="2" borderId="1" xfId="0" applyFont="1" applyFill="1" applyBorder="1" applyAlignment="1">
      <alignment horizontal="justify" vertical="center" wrapText="1"/>
    </xf>
    <xf numFmtId="0" fontId="16" fillId="2" borderId="1" xfId="0" applyFont="1" applyFill="1" applyBorder="1" applyAlignment="1">
      <alignment horizontal="center" vertical="center"/>
    </xf>
    <xf numFmtId="0" fontId="17" fillId="2" borderId="1" xfId="0" applyFont="1" applyFill="1" applyBorder="1" applyAlignment="1">
      <alignment horizontal="right" vertical="center" wrapText="1"/>
    </xf>
    <xf numFmtId="0" fontId="15" fillId="2" borderId="1" xfId="0" applyFont="1" applyFill="1" applyBorder="1" applyAlignment="1">
      <alignment horizontal="center" vertical="center"/>
    </xf>
    <xf numFmtId="0" fontId="23" fillId="2" borderId="1" xfId="0" applyFont="1" applyFill="1" applyBorder="1" applyAlignment="1">
      <alignment horizontal="right" vertical="center" wrapText="1"/>
    </xf>
    <xf numFmtId="0" fontId="13" fillId="2" borderId="1" xfId="0" applyFont="1" applyFill="1" applyBorder="1" applyAlignment="1">
      <alignment horizontal="justify" vertical="center" wrapText="1"/>
    </xf>
    <xf numFmtId="165" fontId="26" fillId="2" borderId="1" xfId="3" applyNumberFormat="1" applyFont="1" applyFill="1" applyBorder="1" applyAlignment="1">
      <alignment vertical="center" textRotation="90" wrapText="1"/>
    </xf>
    <xf numFmtId="168" fontId="16" fillId="2" borderId="1" xfId="3" applyNumberFormat="1" applyFont="1" applyFill="1" applyBorder="1" applyAlignment="1">
      <alignment vertical="center" textRotation="90" wrapText="1"/>
    </xf>
    <xf numFmtId="165" fontId="16" fillId="2" borderId="1" xfId="3" applyNumberFormat="1" applyFont="1" applyFill="1" applyBorder="1" applyAlignment="1">
      <alignment vertical="center" textRotation="90" wrapText="1"/>
    </xf>
    <xf numFmtId="9" fontId="8" fillId="0" borderId="0" xfId="1" applyNumberFormat="1" applyFont="1" applyAlignment="1">
      <alignment vertical="center" wrapText="1"/>
    </xf>
    <xf numFmtId="0" fontId="10" fillId="0" borderId="0" xfId="1" applyFont="1" applyAlignment="1">
      <alignment horizontal="right" vertical="top"/>
    </xf>
    <xf numFmtId="0" fontId="23" fillId="0" borderId="1" xfId="1" applyFont="1" applyBorder="1" applyAlignment="1">
      <alignment vertical="center" wrapText="1"/>
    </xf>
    <xf numFmtId="0" fontId="23" fillId="2" borderId="1" xfId="0" applyFont="1" applyFill="1" applyBorder="1" applyAlignment="1">
      <alignment vertical="center" wrapText="1"/>
    </xf>
    <xf numFmtId="9" fontId="12" fillId="0" borderId="0" xfId="0" applyNumberFormat="1" applyFont="1"/>
    <xf numFmtId="9" fontId="28" fillId="0" borderId="0" xfId="1" applyNumberFormat="1" applyFont="1" applyAlignment="1">
      <alignment vertical="center" wrapText="1"/>
    </xf>
    <xf numFmtId="0" fontId="28" fillId="0" borderId="0" xfId="1" applyFont="1" applyAlignment="1">
      <alignment vertical="center" wrapText="1"/>
    </xf>
    <xf numFmtId="0" fontId="7" fillId="0" borderId="0" xfId="0" applyFont="1"/>
    <xf numFmtId="0" fontId="9" fillId="0" borderId="0" xfId="0" applyFont="1"/>
    <xf numFmtId="3" fontId="13" fillId="11" borderId="1" xfId="1" applyNumberFormat="1" applyFont="1" applyFill="1" applyBorder="1" applyAlignment="1">
      <alignment horizontal="right" vertical="center" wrapText="1"/>
    </xf>
    <xf numFmtId="0" fontId="13" fillId="11" borderId="1" xfId="0" applyFont="1" applyFill="1" applyBorder="1" applyAlignment="1">
      <alignment horizontal="right" vertical="center"/>
    </xf>
    <xf numFmtId="3" fontId="13" fillId="11" borderId="1" xfId="1" applyNumberFormat="1" applyFont="1" applyFill="1" applyBorder="1" applyAlignment="1">
      <alignment vertical="center" wrapText="1"/>
    </xf>
    <xf numFmtId="0" fontId="23" fillId="2" borderId="1" xfId="0" applyFont="1" applyFill="1" applyBorder="1" applyAlignment="1">
      <alignment horizontal="center" vertical="center" wrapText="1"/>
    </xf>
    <xf numFmtId="0" fontId="15" fillId="11" borderId="1" xfId="0" applyFont="1" applyFill="1" applyBorder="1" applyAlignment="1">
      <alignment horizontal="right" vertical="center" wrapText="1"/>
    </xf>
    <xf numFmtId="0" fontId="13" fillId="11" borderId="1" xfId="1" applyFont="1" applyFill="1" applyBorder="1" applyAlignment="1">
      <alignment horizontal="right" vertical="center" wrapText="1"/>
    </xf>
    <xf numFmtId="0" fontId="13" fillId="11" borderId="1" xfId="1" applyFont="1" applyFill="1" applyBorder="1" applyAlignment="1">
      <alignment vertical="center" wrapText="1"/>
    </xf>
    <xf numFmtId="0" fontId="16" fillId="18" borderId="1" xfId="0" applyFont="1" applyFill="1" applyBorder="1" applyAlignment="1">
      <alignment horizontal="right" vertical="center" wrapText="1"/>
    </xf>
    <xf numFmtId="3" fontId="13" fillId="17" borderId="1" xfId="1" applyNumberFormat="1" applyFont="1" applyFill="1" applyBorder="1" applyAlignment="1">
      <alignment vertical="center" wrapText="1"/>
    </xf>
    <xf numFmtId="0" fontId="13" fillId="17" borderId="1" xfId="0" applyFont="1" applyFill="1" applyBorder="1" applyAlignment="1">
      <alignment vertical="center"/>
    </xf>
    <xf numFmtId="0" fontId="13" fillId="17" borderId="1" xfId="0" applyFont="1" applyFill="1" applyBorder="1" applyAlignment="1">
      <alignment vertical="center" wrapText="1"/>
    </xf>
    <xf numFmtId="0" fontId="13" fillId="17" borderId="1" xfId="1" applyFont="1" applyFill="1" applyBorder="1" applyAlignment="1">
      <alignment vertical="center" wrapText="1"/>
    </xf>
    <xf numFmtId="0" fontId="15" fillId="17" borderId="1" xfId="0" applyFont="1" applyFill="1" applyBorder="1" applyAlignment="1">
      <alignment vertical="center"/>
    </xf>
    <xf numFmtId="0" fontId="15" fillId="17" borderId="1" xfId="0" applyFont="1" applyFill="1" applyBorder="1" applyAlignment="1">
      <alignment horizontal="right" vertical="center"/>
    </xf>
    <xf numFmtId="0" fontId="16" fillId="17" borderId="1" xfId="0" applyFont="1" applyFill="1" applyBorder="1" applyAlignment="1">
      <alignment horizontal="right" vertical="center" wrapText="1"/>
    </xf>
    <xf numFmtId="0" fontId="0" fillId="0" borderId="1" xfId="0" applyBorder="1"/>
    <xf numFmtId="0" fontId="1" fillId="0" borderId="1" xfId="0" applyFont="1" applyBorder="1"/>
    <xf numFmtId="0" fontId="0" fillId="11" borderId="1" xfId="0" applyFill="1" applyBorder="1"/>
    <xf numFmtId="0" fontId="0" fillId="12" borderId="1" xfId="0" applyFill="1" applyBorder="1"/>
    <xf numFmtId="0" fontId="0" fillId="16" borderId="1" xfId="0" applyFill="1" applyBorder="1"/>
    <xf numFmtId="0" fontId="0" fillId="13" borderId="1" xfId="0" applyFill="1" applyBorder="1"/>
    <xf numFmtId="0" fontId="0" fillId="15" borderId="1" xfId="0" applyFill="1" applyBorder="1"/>
    <xf numFmtId="0" fontId="0" fillId="14" borderId="1" xfId="0" applyFill="1" applyBorder="1"/>
    <xf numFmtId="0" fontId="0" fillId="17" borderId="1" xfId="0" applyFill="1" applyBorder="1"/>
    <xf numFmtId="0" fontId="0" fillId="2" borderId="1" xfId="0" applyFill="1" applyBorder="1"/>
    <xf numFmtId="0" fontId="12" fillId="14" borderId="1" xfId="0" applyFont="1" applyFill="1" applyBorder="1"/>
    <xf numFmtId="165" fontId="26" fillId="2" borderId="1" xfId="3" applyNumberFormat="1" applyFont="1" applyFill="1" applyBorder="1" applyAlignment="1">
      <alignment horizontal="center" vertical="center" textRotation="90"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right" vertical="center" wrapText="1"/>
    </xf>
    <xf numFmtId="0" fontId="16" fillId="2" borderId="1" xfId="0" applyFont="1" applyFill="1" applyBorder="1" applyAlignment="1">
      <alignment horizontal="right" vertical="center" wrapText="1"/>
    </xf>
    <xf numFmtId="0" fontId="13" fillId="2" borderId="1" xfId="0" applyFont="1" applyFill="1" applyBorder="1" applyAlignment="1">
      <alignment horizontal="center" vertical="center"/>
    </xf>
    <xf numFmtId="165" fontId="14" fillId="2" borderId="1" xfId="0" applyNumberFormat="1" applyFont="1" applyFill="1" applyBorder="1" applyAlignment="1">
      <alignment horizontal="center" vertical="center" textRotation="90"/>
    </xf>
    <xf numFmtId="10" fontId="14" fillId="2" borderId="1" xfId="2" applyNumberFormat="1" applyFont="1" applyFill="1" applyBorder="1" applyAlignment="1">
      <alignment horizontal="center" vertical="center" textRotation="90"/>
    </xf>
    <xf numFmtId="0" fontId="14" fillId="2" borderId="1" xfId="0" applyFont="1" applyFill="1" applyBorder="1" applyAlignment="1">
      <alignment horizontal="left" vertical="center" wrapText="1"/>
    </xf>
    <xf numFmtId="0" fontId="8" fillId="2" borderId="1" xfId="1" applyFont="1" applyFill="1" applyBorder="1" applyAlignment="1">
      <alignment vertical="center" wrapText="1"/>
    </xf>
    <xf numFmtId="0" fontId="13" fillId="2" borderId="1" xfId="1" applyFont="1" applyFill="1" applyBorder="1" applyAlignment="1">
      <alignment vertical="center" wrapText="1"/>
    </xf>
    <xf numFmtId="0" fontId="13" fillId="2" borderId="1" xfId="1" applyFont="1" applyFill="1" applyBorder="1" applyAlignment="1">
      <alignment horizontal="left" vertical="center" wrapText="1"/>
    </xf>
    <xf numFmtId="0" fontId="14" fillId="2" borderId="1" xfId="1" applyFont="1" applyFill="1" applyBorder="1" applyAlignment="1">
      <alignment horizontal="center" vertical="top" wrapText="1"/>
    </xf>
    <xf numFmtId="3" fontId="23" fillId="2" borderId="1" xfId="1" applyNumberFormat="1" applyFont="1" applyFill="1" applyBorder="1" applyAlignment="1">
      <alignment vertical="center" wrapText="1"/>
    </xf>
    <xf numFmtId="0" fontId="14" fillId="2" borderId="1" xfId="1" applyFont="1" applyFill="1" applyBorder="1" applyAlignment="1">
      <alignment horizontal="center" vertical="center" wrapText="1"/>
    </xf>
    <xf numFmtId="0" fontId="13" fillId="2" borderId="1" xfId="1" applyFont="1" applyFill="1" applyBorder="1" applyAlignment="1">
      <alignment horizontal="left" vertical="center" wrapText="1" indent="2"/>
    </xf>
    <xf numFmtId="0" fontId="13" fillId="2" borderId="1" xfId="0" applyFont="1" applyFill="1" applyBorder="1" applyAlignment="1">
      <alignment wrapText="1"/>
    </xf>
    <xf numFmtId="0" fontId="24" fillId="2" borderId="1" xfId="0" applyFont="1" applyFill="1" applyBorder="1" applyAlignment="1">
      <alignment wrapText="1"/>
    </xf>
    <xf numFmtId="0" fontId="23" fillId="2" borderId="1" xfId="0" applyFont="1" applyFill="1" applyBorder="1" applyAlignment="1">
      <alignment wrapText="1"/>
    </xf>
    <xf numFmtId="0" fontId="23" fillId="2" borderId="1" xfId="0" applyFont="1" applyFill="1" applyBorder="1"/>
    <xf numFmtId="0" fontId="13" fillId="2" borderId="1" xfId="0" applyFont="1" applyFill="1" applyBorder="1"/>
    <xf numFmtId="0" fontId="13" fillId="0" borderId="1" xfId="1" applyFont="1" applyBorder="1" applyAlignment="1">
      <alignment horizontal="left" vertical="center" wrapText="1" indent="2"/>
    </xf>
    <xf numFmtId="3" fontId="13" fillId="0" borderId="1" xfId="1" applyNumberFormat="1" applyFont="1" applyBorder="1" applyAlignment="1">
      <alignment vertical="center" wrapText="1"/>
    </xf>
    <xf numFmtId="3" fontId="13" fillId="0" borderId="1" xfId="1" applyNumberFormat="1" applyFont="1" applyBorder="1" applyAlignment="1">
      <alignment horizontal="right" vertical="center" wrapText="1"/>
    </xf>
    <xf numFmtId="0" fontId="13" fillId="0" borderId="1" xfId="1" applyFont="1" applyBorder="1" applyAlignment="1">
      <alignment horizontal="left" vertical="center" wrapText="1"/>
    </xf>
    <xf numFmtId="0" fontId="4"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3" fillId="2" borderId="1" xfId="0" applyFont="1" applyFill="1" applyBorder="1" applyAlignment="1">
      <alignment vertical="center" textRotation="90" wrapText="1"/>
    </xf>
    <xf numFmtId="0" fontId="13" fillId="17" borderId="1" xfId="0" applyFont="1" applyFill="1" applyBorder="1" applyAlignment="1">
      <alignment horizontal="center" vertical="center"/>
    </xf>
    <xf numFmtId="0" fontId="21" fillId="5" borderId="1" xfId="1" applyFont="1" applyFill="1" applyBorder="1" applyAlignment="1">
      <alignment horizontal="center" vertical="center" wrapText="1"/>
    </xf>
    <xf numFmtId="0" fontId="13" fillId="5" borderId="1" xfId="1" applyFont="1" applyFill="1" applyBorder="1" applyAlignment="1">
      <alignment vertical="center" wrapText="1"/>
    </xf>
    <xf numFmtId="3" fontId="14" fillId="5" borderId="1" xfId="1" applyNumberFormat="1" applyFont="1" applyFill="1" applyBorder="1" applyAlignment="1">
      <alignment vertical="center" wrapText="1"/>
    </xf>
    <xf numFmtId="0" fontId="0" fillId="19" borderId="1" xfId="0" applyFill="1" applyBorder="1"/>
    <xf numFmtId="0" fontId="12" fillId="19" borderId="1" xfId="0" applyFont="1" applyFill="1" applyBorder="1"/>
    <xf numFmtId="0" fontId="0" fillId="20" borderId="1" xfId="0" applyFill="1" applyBorder="1"/>
    <xf numFmtId="0" fontId="12" fillId="20" borderId="1" xfId="0" applyFont="1" applyFill="1" applyBorder="1"/>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2" xfId="0" applyFont="1" applyBorder="1" applyAlignment="1">
      <alignment horizontal="center" vertical="center" wrapText="1"/>
    </xf>
    <xf numFmtId="0" fontId="0" fillId="21" borderId="1" xfId="0" applyFill="1" applyBorder="1"/>
    <xf numFmtId="0" fontId="12" fillId="21" borderId="1" xfId="0" applyFont="1" applyFill="1" applyBorder="1"/>
    <xf numFmtId="0" fontId="0" fillId="22" borderId="1" xfId="0" applyFill="1" applyBorder="1"/>
    <xf numFmtId="0" fontId="12" fillId="22" borderId="1" xfId="0" applyFont="1" applyFill="1" applyBorder="1"/>
    <xf numFmtId="0" fontId="0" fillId="22" borderId="0" xfId="0" applyFill="1"/>
    <xf numFmtId="0" fontId="0" fillId="23" borderId="1" xfId="0" applyFill="1" applyBorder="1"/>
    <xf numFmtId="0" fontId="12" fillId="23" borderId="1" xfId="0" applyFont="1" applyFill="1" applyBorder="1"/>
    <xf numFmtId="0" fontId="0" fillId="24" borderId="1" xfId="0" applyFill="1" applyBorder="1"/>
    <xf numFmtId="0" fontId="12" fillId="24" borderId="1" xfId="0" applyFont="1" applyFill="1" applyBorder="1"/>
    <xf numFmtId="0" fontId="12" fillId="0" borderId="2" xfId="0" applyFont="1" applyBorder="1" applyAlignment="1">
      <alignment horizontal="center"/>
    </xf>
    <xf numFmtId="0" fontId="14" fillId="14" borderId="1" xfId="0" applyFont="1" applyFill="1" applyBorder="1" applyAlignment="1">
      <alignment vertical="center" wrapText="1"/>
    </xf>
    <xf numFmtId="0" fontId="14" fillId="24" borderId="1" xfId="0" applyFont="1" applyFill="1" applyBorder="1" applyAlignment="1">
      <alignment vertical="center" wrapText="1"/>
    </xf>
    <xf numFmtId="0" fontId="14" fillId="21" borderId="1" xfId="0" applyFont="1" applyFill="1" applyBorder="1" applyAlignment="1">
      <alignment vertical="center" wrapText="1"/>
    </xf>
    <xf numFmtId="0" fontId="1" fillId="2" borderId="1" xfId="0" applyFont="1" applyFill="1" applyBorder="1"/>
    <xf numFmtId="0" fontId="0" fillId="2" borderId="0" xfId="0" applyFill="1"/>
    <xf numFmtId="169" fontId="8" fillId="2" borderId="1" xfId="0" applyNumberFormat="1" applyFont="1" applyFill="1" applyBorder="1"/>
    <xf numFmtId="170" fontId="0" fillId="21" borderId="1" xfId="0" applyNumberFormat="1" applyFill="1" applyBorder="1"/>
    <xf numFmtId="170" fontId="8" fillId="0" borderId="0" xfId="1" applyNumberFormat="1" applyFont="1" applyAlignment="1">
      <alignment vertical="center" wrapText="1"/>
    </xf>
    <xf numFmtId="170" fontId="0" fillId="0" borderId="0" xfId="0" applyNumberFormat="1"/>
    <xf numFmtId="170" fontId="0" fillId="0" borderId="0" xfId="0" applyNumberFormat="1" applyAlignment="1">
      <alignment vertical="center"/>
    </xf>
    <xf numFmtId="170" fontId="4" fillId="2" borderId="0" xfId="0" applyNumberFormat="1" applyFont="1" applyFill="1" applyAlignment="1">
      <alignment vertical="center" wrapText="1"/>
    </xf>
    <xf numFmtId="169" fontId="0" fillId="0" borderId="0" xfId="0" applyNumberFormat="1"/>
    <xf numFmtId="169" fontId="8" fillId="14" borderId="1" xfId="0" applyNumberFormat="1" applyFont="1" applyFill="1" applyBorder="1"/>
    <xf numFmtId="169" fontId="8" fillId="24" borderId="1" xfId="0" applyNumberFormat="1" applyFont="1" applyFill="1" applyBorder="1"/>
    <xf numFmtId="0" fontId="0" fillId="26" borderId="1" xfId="0" applyFill="1" applyBorder="1"/>
    <xf numFmtId="0" fontId="12" fillId="26" borderId="1" xfId="0" applyFont="1" applyFill="1" applyBorder="1"/>
    <xf numFmtId="169" fontId="8" fillId="2" borderId="12" xfId="0" applyNumberFormat="1" applyFont="1" applyFill="1" applyBorder="1"/>
    <xf numFmtId="0" fontId="12" fillId="0" borderId="1" xfId="0" applyFont="1" applyBorder="1" applyAlignment="1">
      <alignment horizontal="center"/>
    </xf>
    <xf numFmtId="0" fontId="12" fillId="0" borderId="1" xfId="0" applyFont="1" applyBorder="1" applyAlignment="1">
      <alignment horizontal="center" vertical="center" wrapText="1"/>
    </xf>
    <xf numFmtId="164" fontId="10" fillId="14" borderId="1" xfId="3" applyFont="1" applyFill="1" applyBorder="1"/>
    <xf numFmtId="170" fontId="8" fillId="19" borderId="1" xfId="1" applyNumberFormat="1" applyFont="1" applyFill="1" applyBorder="1" applyAlignment="1">
      <alignment vertical="center" wrapText="1"/>
    </xf>
    <xf numFmtId="170" fontId="0" fillId="19" borderId="1" xfId="0" applyNumberFormat="1" applyFill="1" applyBorder="1" applyAlignment="1">
      <alignment vertical="center"/>
    </xf>
    <xf numFmtId="170" fontId="8" fillId="0" borderId="1" xfId="1" applyNumberFormat="1" applyFont="1" applyBorder="1" applyAlignment="1">
      <alignment vertical="center" wrapText="1"/>
    </xf>
    <xf numFmtId="170" fontId="0" fillId="0" borderId="1" xfId="0" applyNumberFormat="1" applyBorder="1" applyAlignment="1">
      <alignment vertical="center"/>
    </xf>
    <xf numFmtId="170" fontId="8" fillId="26" borderId="1" xfId="1" applyNumberFormat="1" applyFont="1" applyFill="1" applyBorder="1" applyAlignment="1">
      <alignment vertical="center" wrapText="1"/>
    </xf>
    <xf numFmtId="170" fontId="0" fillId="26" borderId="1" xfId="0" applyNumberFormat="1" applyFill="1" applyBorder="1" applyAlignment="1">
      <alignment vertical="center"/>
    </xf>
    <xf numFmtId="0" fontId="13" fillId="2" borderId="1" xfId="0" applyFont="1" applyFill="1" applyBorder="1" applyAlignment="1">
      <alignment horizontal="center" vertical="center" wrapText="1"/>
    </xf>
    <xf numFmtId="0" fontId="20" fillId="4" borderId="10" xfId="1" applyFont="1" applyFill="1" applyBorder="1" applyAlignment="1">
      <alignment horizontal="center" vertical="center" wrapText="1"/>
    </xf>
    <xf numFmtId="0" fontId="20" fillId="4" borderId="7" xfId="1" applyFont="1" applyFill="1" applyBorder="1" applyAlignment="1">
      <alignment horizontal="center" vertical="center" wrapText="1"/>
    </xf>
    <xf numFmtId="0" fontId="20" fillId="4" borderId="8" xfId="1" applyFont="1" applyFill="1" applyBorder="1" applyAlignment="1">
      <alignment horizontal="center" vertical="center" wrapText="1"/>
    </xf>
    <xf numFmtId="0" fontId="20" fillId="4" borderId="7" xfId="1" applyFont="1" applyFill="1" applyBorder="1" applyAlignment="1">
      <alignment horizontal="left" vertical="center" wrapText="1"/>
    </xf>
    <xf numFmtId="0" fontId="10" fillId="5" borderId="5" xfId="1" applyFont="1" applyFill="1" applyBorder="1" applyAlignment="1">
      <alignment horizontal="center" vertical="center" wrapText="1"/>
    </xf>
    <xf numFmtId="0" fontId="10" fillId="5" borderId="9" xfId="1" applyFont="1" applyFill="1" applyBorder="1" applyAlignment="1">
      <alignment horizontal="center" vertical="center" wrapText="1"/>
    </xf>
    <xf numFmtId="0" fontId="22" fillId="5" borderId="10" xfId="1" applyFont="1" applyFill="1" applyBorder="1" applyAlignment="1">
      <alignment horizontal="center" vertical="top" wrapText="1"/>
    </xf>
    <xf numFmtId="0" fontId="22" fillId="5" borderId="7" xfId="1" applyFont="1" applyFill="1" applyBorder="1" applyAlignment="1">
      <alignment horizontal="center" vertical="top" wrapText="1"/>
    </xf>
    <xf numFmtId="0" fontId="22" fillId="5" borderId="6" xfId="1" applyFont="1" applyFill="1" applyBorder="1" applyAlignment="1">
      <alignment horizontal="center" vertical="top" wrapText="1"/>
    </xf>
    <xf numFmtId="0" fontId="20" fillId="6" borderId="10" xfId="1" applyFont="1" applyFill="1" applyBorder="1" applyAlignment="1">
      <alignment horizontal="center" vertical="top" wrapText="1"/>
    </xf>
    <xf numFmtId="0" fontId="20" fillId="6" borderId="7" xfId="1" applyFont="1" applyFill="1" applyBorder="1" applyAlignment="1">
      <alignment horizontal="center" vertical="top" wrapText="1"/>
    </xf>
    <xf numFmtId="0" fontId="14" fillId="5" borderId="3" xfId="1" applyFont="1" applyFill="1" applyBorder="1" applyAlignment="1">
      <alignment horizontal="center" vertical="top" wrapText="1"/>
    </xf>
    <xf numFmtId="0" fontId="14" fillId="5" borderId="4" xfId="1" applyFont="1" applyFill="1" applyBorder="1" applyAlignment="1">
      <alignment horizontal="center" vertical="top" wrapText="1"/>
    </xf>
    <xf numFmtId="0" fontId="13" fillId="2" borderId="1" xfId="0" applyFont="1" applyFill="1" applyBorder="1" applyAlignment="1">
      <alignment horizontal="center" vertical="top" wrapText="1"/>
    </xf>
    <xf numFmtId="0" fontId="13" fillId="2" borderId="1" xfId="1" applyFont="1" applyFill="1" applyBorder="1" applyAlignment="1">
      <alignment horizontal="center" vertical="center" wrapText="1"/>
    </xf>
    <xf numFmtId="165" fontId="14" fillId="2" borderId="1" xfId="0" applyNumberFormat="1" applyFont="1" applyFill="1" applyBorder="1" applyAlignment="1">
      <alignment horizontal="center" vertical="center" textRotation="90"/>
    </xf>
    <xf numFmtId="9" fontId="14" fillId="2" borderId="1" xfId="2" applyFont="1" applyFill="1" applyBorder="1" applyAlignment="1">
      <alignment horizontal="center" vertical="center" textRotation="90"/>
    </xf>
    <xf numFmtId="10" fontId="14" fillId="2" borderId="1" xfId="2" applyNumberFormat="1" applyFont="1" applyFill="1" applyBorder="1" applyAlignment="1">
      <alignment horizontal="center" vertical="center" textRotation="90"/>
    </xf>
    <xf numFmtId="0" fontId="23" fillId="2" borderId="1" xfId="0" applyFont="1" applyFill="1" applyBorder="1" applyAlignment="1">
      <alignment horizontal="center" wrapText="1"/>
    </xf>
    <xf numFmtId="165" fontId="14" fillId="2" borderId="1" xfId="3" applyNumberFormat="1" applyFont="1" applyFill="1" applyBorder="1" applyAlignment="1">
      <alignment horizontal="center" vertical="center" textRotation="90" wrapText="1"/>
    </xf>
    <xf numFmtId="0" fontId="13" fillId="2" borderId="1" xfId="3" applyNumberFormat="1" applyFont="1" applyFill="1" applyBorder="1" applyAlignment="1">
      <alignment horizontal="center" vertical="center" wrapText="1"/>
    </xf>
    <xf numFmtId="0" fontId="13" fillId="2" borderId="1" xfId="0" applyFont="1" applyFill="1" applyBorder="1" applyAlignment="1">
      <alignment horizontal="center" vertical="center"/>
    </xf>
    <xf numFmtId="9" fontId="14" fillId="2" borderId="1" xfId="2" applyFont="1" applyFill="1" applyBorder="1" applyAlignment="1">
      <alignment horizontal="center" vertical="center" textRotation="90" wrapText="1"/>
    </xf>
    <xf numFmtId="166" fontId="13" fillId="2" borderId="1" xfId="0" applyNumberFormat="1" applyFont="1" applyFill="1" applyBorder="1" applyAlignment="1">
      <alignment horizontal="center" vertical="center" textRotation="90" wrapText="1"/>
    </xf>
    <xf numFmtId="0" fontId="13" fillId="0" borderId="1" xfId="1" applyFont="1" applyBorder="1" applyAlignment="1">
      <alignment horizontal="center" vertical="center" wrapText="1"/>
    </xf>
    <xf numFmtId="0" fontId="13" fillId="2" borderId="1" xfId="0" applyFont="1" applyFill="1" applyBorder="1" applyAlignment="1">
      <alignment horizontal="center" vertical="center" textRotation="90" wrapText="1"/>
    </xf>
    <xf numFmtId="165" fontId="14" fillId="2" borderId="1" xfId="3" applyNumberFormat="1" applyFont="1" applyFill="1" applyBorder="1" applyAlignment="1">
      <alignment horizontal="justify" vertical="center" textRotation="90" wrapText="1"/>
    </xf>
    <xf numFmtId="167" fontId="13" fillId="2" borderId="1" xfId="0" applyNumberFormat="1" applyFont="1" applyFill="1" applyBorder="1" applyAlignment="1">
      <alignment horizontal="center" vertical="center" textRotation="90" wrapText="1"/>
    </xf>
    <xf numFmtId="0" fontId="13" fillId="2" borderId="1" xfId="0" applyFont="1" applyFill="1" applyBorder="1" applyAlignment="1">
      <alignment horizontal="right" vertical="center" wrapText="1"/>
    </xf>
    <xf numFmtId="0" fontId="16" fillId="2" borderId="1" xfId="0" applyFont="1" applyFill="1" applyBorder="1" applyAlignment="1">
      <alignment horizontal="right" vertical="center" wrapText="1"/>
    </xf>
    <xf numFmtId="0" fontId="16" fillId="2" borderId="1" xfId="0" applyFont="1" applyFill="1" applyBorder="1" applyAlignment="1">
      <alignment horizontal="center" vertical="center" wrapText="1"/>
    </xf>
    <xf numFmtId="168" fontId="13" fillId="2" borderId="1" xfId="0" applyNumberFormat="1" applyFont="1" applyFill="1" applyBorder="1" applyAlignment="1">
      <alignment horizontal="center" vertical="center" textRotation="90" wrapText="1"/>
    </xf>
    <xf numFmtId="165" fontId="26" fillId="2" borderId="1" xfId="3" applyNumberFormat="1" applyFont="1" applyFill="1" applyBorder="1" applyAlignment="1">
      <alignment horizontal="center" vertical="center" textRotation="90" wrapText="1"/>
    </xf>
    <xf numFmtId="165" fontId="16" fillId="2" borderId="1" xfId="3" applyNumberFormat="1" applyFont="1" applyFill="1" applyBorder="1" applyAlignment="1">
      <alignment horizontal="center" vertical="center" textRotation="90" wrapText="1"/>
    </xf>
    <xf numFmtId="0" fontId="16" fillId="2" borderId="1" xfId="0" applyFont="1" applyFill="1" applyBorder="1" applyAlignment="1">
      <alignment horizontal="center" vertical="center" textRotation="90" wrapText="1"/>
    </xf>
    <xf numFmtId="0" fontId="17" fillId="0" borderId="1" xfId="0" applyFont="1" applyBorder="1" applyAlignment="1">
      <alignment horizontal="center" vertical="center" wrapText="1"/>
    </xf>
    <xf numFmtId="168" fontId="16" fillId="2" borderId="1" xfId="3" applyNumberFormat="1" applyFont="1" applyFill="1" applyBorder="1" applyAlignment="1">
      <alignment horizontal="center" vertical="center" textRotation="90" wrapText="1"/>
    </xf>
    <xf numFmtId="0" fontId="21" fillId="5" borderId="1" xfId="1" applyFont="1" applyFill="1" applyBorder="1" applyAlignment="1">
      <alignment horizontal="center" vertical="center" wrapText="1"/>
    </xf>
    <xf numFmtId="0" fontId="8" fillId="0" borderId="1" xfId="1" applyFont="1" applyBorder="1" applyAlignment="1">
      <alignment horizontal="left" vertical="top" wrapText="1"/>
    </xf>
    <xf numFmtId="0" fontId="10" fillId="0" borderId="0" xfId="1" applyFont="1" applyAlignment="1">
      <alignment horizontal="center" vertical="center" wrapText="1"/>
    </xf>
    <xf numFmtId="0" fontId="12" fillId="0" borderId="10" xfId="0" applyFont="1" applyBorder="1" applyAlignment="1">
      <alignment horizontal="center"/>
    </xf>
    <xf numFmtId="0" fontId="12" fillId="0" borderId="7" xfId="0" applyFont="1" applyBorder="1" applyAlignment="1">
      <alignment horizontal="center"/>
    </xf>
    <xf numFmtId="0" fontId="12" fillId="0" borderId="8" xfId="0" applyFont="1" applyBorder="1" applyAlignment="1">
      <alignment horizontal="center"/>
    </xf>
    <xf numFmtId="0" fontId="12" fillId="25" borderId="11" xfId="0" applyFont="1" applyFill="1" applyBorder="1" applyAlignment="1">
      <alignment horizontal="center"/>
    </xf>
    <xf numFmtId="0" fontId="12" fillId="25" borderId="13" xfId="0" applyFont="1" applyFill="1" applyBorder="1" applyAlignment="1">
      <alignment horizontal="center"/>
    </xf>
    <xf numFmtId="0" fontId="12" fillId="25" borderId="14" xfId="0" applyFont="1" applyFill="1" applyBorder="1" applyAlignment="1">
      <alignment horizontal="center"/>
    </xf>
    <xf numFmtId="0" fontId="12" fillId="15" borderId="11" xfId="0" applyFont="1" applyFill="1" applyBorder="1" applyAlignment="1">
      <alignment horizontal="center"/>
    </xf>
    <xf numFmtId="0" fontId="12" fillId="15" borderId="13" xfId="0" applyFont="1" applyFill="1" applyBorder="1" applyAlignment="1">
      <alignment horizontal="center"/>
    </xf>
    <xf numFmtId="0" fontId="12" fillId="15" borderId="14" xfId="0" applyFont="1" applyFill="1" applyBorder="1" applyAlignment="1">
      <alignment horizontal="center"/>
    </xf>
    <xf numFmtId="0" fontId="12" fillId="0" borderId="1" xfId="0" applyFont="1" applyBorder="1" applyAlignment="1">
      <alignment horizontal="center"/>
    </xf>
    <xf numFmtId="0" fontId="12" fillId="25" borderId="1" xfId="0" applyFont="1" applyFill="1" applyBorder="1" applyAlignment="1">
      <alignment horizontal="center"/>
    </xf>
    <xf numFmtId="0" fontId="12" fillId="15" borderId="1" xfId="0" applyFont="1" applyFill="1" applyBorder="1" applyAlignment="1">
      <alignment horizontal="center"/>
    </xf>
  </cellXfs>
  <cellStyles count="4">
    <cellStyle name="Millares" xfId="3" builtinId="3"/>
    <cellStyle name="Normal" xfId="0" builtinId="0"/>
    <cellStyle name="Normal 2" xfId="1" xr:uid="{00000000-0005-0000-0000-000003000000}"/>
    <cellStyle name="Porcentaje" xfId="2" builtinId="5"/>
  </cellStyles>
  <dxfs count="0"/>
  <tableStyles count="0" defaultTableStyle="TableStyleMedium9" defaultPivotStyle="PivotStyleLight16"/>
  <colors>
    <mruColors>
      <color rgb="FFFF0066"/>
      <color rgb="FFFF00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990600</xdr:colOff>
      <xdr:row>2</xdr:row>
      <xdr:rowOff>0</xdr:rowOff>
    </xdr:to>
    <xdr:grpSp>
      <xdr:nvGrpSpPr>
        <xdr:cNvPr id="2" name="1 Grupo">
          <a:extLst>
            <a:ext uri="{FF2B5EF4-FFF2-40B4-BE49-F238E27FC236}">
              <a16:creationId xmlns:a16="http://schemas.microsoft.com/office/drawing/2014/main" id="{43FB542E-74C9-45B8-A447-46EA4F6DD5B8}"/>
            </a:ext>
          </a:extLst>
        </xdr:cNvPr>
        <xdr:cNvGrpSpPr>
          <a:grpSpLocks/>
        </xdr:cNvGrpSpPr>
      </xdr:nvGrpSpPr>
      <xdr:grpSpPr bwMode="auto">
        <a:xfrm>
          <a:off x="261938" y="166688"/>
          <a:ext cx="8027193" cy="166687"/>
          <a:chOff x="57150" y="47625"/>
          <a:chExt cx="6181725" cy="1581150"/>
        </a:xfrm>
      </xdr:grpSpPr>
      <xdr:pic>
        <xdr:nvPicPr>
          <xdr:cNvPr id="3" name="1 Imagen" descr="ESCUDO-transp-lema-blanco.png">
            <a:extLst>
              <a:ext uri="{FF2B5EF4-FFF2-40B4-BE49-F238E27FC236}">
                <a16:creationId xmlns:a16="http://schemas.microsoft.com/office/drawing/2014/main" id="{D618ACF2-F252-472A-8B54-06777822A922}"/>
              </a:ext>
            </a:extLst>
          </xdr:cNvPr>
          <xdr:cNvPicPr>
            <a:picLocks noChangeAspect="1"/>
          </xdr:cNvPicPr>
        </xdr:nvPicPr>
        <xdr:blipFill>
          <a:blip xmlns:r="http://schemas.openxmlformats.org/officeDocument/2006/relationships" r:embed="rId1" cstate="print"/>
          <a:srcRect/>
          <a:stretch>
            <a:fillRect/>
          </a:stretch>
        </xdr:blipFill>
        <xdr:spPr bwMode="auto">
          <a:xfrm>
            <a:off x="57150" y="47625"/>
            <a:ext cx="1209675" cy="1581150"/>
          </a:xfrm>
          <a:prstGeom prst="rect">
            <a:avLst/>
          </a:prstGeom>
          <a:noFill/>
          <a:ln w="9525">
            <a:noFill/>
            <a:miter lim="800000"/>
            <a:headEnd/>
            <a:tailEnd/>
          </a:ln>
        </xdr:spPr>
      </xdr:pic>
      <xdr:sp macro="" textlink="">
        <xdr:nvSpPr>
          <xdr:cNvPr id="4" name="3 CuadroTexto">
            <a:extLst>
              <a:ext uri="{FF2B5EF4-FFF2-40B4-BE49-F238E27FC236}">
                <a16:creationId xmlns:a16="http://schemas.microsoft.com/office/drawing/2014/main" id="{FF6A57A0-4BF2-4604-A0FE-1DC82CBE98F6}"/>
              </a:ext>
            </a:extLst>
          </xdr:cNvPr>
          <xdr:cNvSpPr txBox="1"/>
        </xdr:nvSpPr>
        <xdr:spPr>
          <a:xfrm>
            <a:off x="1426640" y="49530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twoCellAnchor editAs="oneCell">
    <xdr:from>
      <xdr:col>2</xdr:col>
      <xdr:colOff>0</xdr:colOff>
      <xdr:row>63</xdr:row>
      <xdr:rowOff>0</xdr:rowOff>
    </xdr:from>
    <xdr:to>
      <xdr:col>2</xdr:col>
      <xdr:colOff>123825</xdr:colOff>
      <xdr:row>63</xdr:row>
      <xdr:rowOff>28575</xdr:rowOff>
    </xdr:to>
    <xdr:pic>
      <xdr:nvPicPr>
        <xdr:cNvPr id="5" name="Picture 499" descr="*">
          <a:extLst>
            <a:ext uri="{FF2B5EF4-FFF2-40B4-BE49-F238E27FC236}">
              <a16:creationId xmlns:a16="http://schemas.microsoft.com/office/drawing/2014/main" id="{6F4B6A9A-8487-4575-BADB-74A7B95018E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28775" y="58693050"/>
          <a:ext cx="123825" cy="285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1/Desktop/probable%20ajuste%20poai%202019%20Cardiqu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
      <sheetName val="Anexo 2 Protocolo Inf Gestión"/>
      <sheetName val="Anexo 5-1 Ingresos"/>
      <sheetName val="Anexo 5-2 Gasto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U225"/>
  <sheetViews>
    <sheetView tabSelected="1" topLeftCell="B6" zoomScale="80" zoomScaleNormal="80" workbookViewId="0">
      <pane xSplit="1" ySplit="2" topLeftCell="C8" activePane="bottomRight" state="frozenSplit"/>
      <selection activeCell="B6" sqref="B6"/>
      <selection pane="topRight" activeCell="C6" sqref="C6"/>
      <selection pane="bottomLeft" activeCell="F7" sqref="F7"/>
      <selection pane="bottomRight" activeCell="B3" sqref="B3:S3"/>
    </sheetView>
  </sheetViews>
  <sheetFormatPr baseColWidth="10" defaultRowHeight="12.75" x14ac:dyDescent="0.2"/>
  <cols>
    <col min="1" max="1" width="4" customWidth="1"/>
    <col min="2" max="2" width="30.42578125" customWidth="1"/>
    <col min="3" max="3" width="25.7109375" customWidth="1"/>
    <col min="4" max="4" width="14.42578125" customWidth="1"/>
    <col min="5" max="5" width="14.7109375" customWidth="1"/>
    <col min="6" max="6" width="20.42578125" customWidth="1"/>
    <col min="7" max="7" width="22.5703125" customWidth="1"/>
    <col min="8" max="8" width="18.5703125" customWidth="1"/>
    <col min="9" max="9" width="16.7109375" customWidth="1"/>
    <col min="10" max="10" width="15.28515625" customWidth="1"/>
    <col min="13" max="13" width="18" customWidth="1"/>
    <col min="20" max="20" width="24" customWidth="1"/>
    <col min="21" max="21" width="22.85546875" customWidth="1"/>
  </cols>
  <sheetData>
    <row r="2" spans="2:21" ht="13.5" thickBot="1" x14ac:dyDescent="0.25">
      <c r="B2" s="12"/>
      <c r="C2" s="12"/>
      <c r="D2" s="12"/>
      <c r="E2" s="12"/>
      <c r="F2" s="12"/>
      <c r="G2" s="12"/>
      <c r="H2" s="12"/>
      <c r="I2" s="12"/>
      <c r="J2" s="12"/>
      <c r="K2" s="12"/>
      <c r="L2" s="12"/>
      <c r="M2" s="12"/>
      <c r="N2" s="12"/>
      <c r="O2" s="12"/>
      <c r="P2" s="12"/>
      <c r="Q2" s="12"/>
      <c r="R2" s="12"/>
      <c r="S2" s="12"/>
      <c r="T2" s="13"/>
    </row>
    <row r="3" spans="2:21" ht="16.5" thickBot="1" x14ac:dyDescent="0.25">
      <c r="B3" s="154">
        <f>'[1]Datos Generales'!D6</f>
        <v>0</v>
      </c>
      <c r="C3" s="155"/>
      <c r="D3" s="155"/>
      <c r="E3" s="155"/>
      <c r="F3" s="155"/>
      <c r="G3" s="155"/>
      <c r="H3" s="155"/>
      <c r="I3" s="155"/>
      <c r="J3" s="155"/>
      <c r="K3" s="155"/>
      <c r="L3" s="155"/>
      <c r="M3" s="155"/>
      <c r="N3" s="155"/>
      <c r="O3" s="155"/>
      <c r="P3" s="155"/>
      <c r="Q3" s="155"/>
      <c r="R3" s="155"/>
      <c r="S3" s="156"/>
      <c r="T3" s="14"/>
    </row>
    <row r="4" spans="2:21" ht="16.5" thickBot="1" x14ac:dyDescent="0.25">
      <c r="B4" s="154" t="s">
        <v>261</v>
      </c>
      <c r="C4" s="155"/>
      <c r="D4" s="155"/>
      <c r="E4" s="155"/>
      <c r="F4" s="155"/>
      <c r="G4" s="155"/>
      <c r="H4" s="155"/>
      <c r="I4" s="155"/>
      <c r="J4" s="155"/>
      <c r="K4" s="155"/>
      <c r="L4" s="155"/>
      <c r="M4" s="155"/>
      <c r="N4" s="155"/>
      <c r="O4" s="155"/>
      <c r="P4" s="155"/>
      <c r="Q4" s="155"/>
      <c r="R4" s="155"/>
      <c r="S4" s="156"/>
      <c r="T4" s="14"/>
    </row>
    <row r="5" spans="2:21" ht="16.5" thickBot="1" x14ac:dyDescent="0.25">
      <c r="B5" s="15" t="s">
        <v>262</v>
      </c>
      <c r="C5" s="157">
        <f>'[1]Datos Generales'!D7</f>
        <v>0</v>
      </c>
      <c r="D5" s="157"/>
      <c r="E5" s="157"/>
      <c r="F5" s="157"/>
      <c r="G5" s="157"/>
      <c r="H5" s="157"/>
      <c r="I5" s="157"/>
      <c r="J5" s="157"/>
      <c r="K5" s="157"/>
      <c r="L5" s="157"/>
      <c r="M5" s="16"/>
      <c r="N5" s="16"/>
      <c r="O5" s="16"/>
      <c r="P5" s="16"/>
      <c r="Q5" s="16"/>
      <c r="R5" s="16"/>
      <c r="S5" s="17"/>
      <c r="T5" s="14"/>
    </row>
    <row r="6" spans="2:21" ht="17.25" thickBot="1" x14ac:dyDescent="0.25">
      <c r="B6" s="158" t="s">
        <v>263</v>
      </c>
      <c r="C6" s="160" t="s">
        <v>264</v>
      </c>
      <c r="D6" s="161"/>
      <c r="E6" s="161"/>
      <c r="F6" s="161"/>
      <c r="G6" s="161"/>
      <c r="H6" s="161"/>
      <c r="I6" s="161"/>
      <c r="J6" s="162"/>
      <c r="K6" s="162"/>
      <c r="L6" s="162"/>
      <c r="M6" s="163" t="s">
        <v>265</v>
      </c>
      <c r="N6" s="164"/>
      <c r="O6" s="164"/>
      <c r="P6" s="164"/>
      <c r="Q6" s="164"/>
      <c r="R6" s="164"/>
      <c r="S6" s="165" t="s">
        <v>266</v>
      </c>
      <c r="T6" s="13"/>
    </row>
    <row r="7" spans="2:21" ht="127.5" x14ac:dyDescent="0.2">
      <c r="B7" s="159"/>
      <c r="C7" s="18" t="s">
        <v>267</v>
      </c>
      <c r="D7" s="18" t="s">
        <v>268</v>
      </c>
      <c r="E7" s="18" t="s">
        <v>269</v>
      </c>
      <c r="F7" s="18" t="s">
        <v>270</v>
      </c>
      <c r="G7" s="18" t="s">
        <v>271</v>
      </c>
      <c r="H7" s="18" t="s">
        <v>272</v>
      </c>
      <c r="I7" s="19" t="s">
        <v>273</v>
      </c>
      <c r="J7" s="19" t="s">
        <v>274</v>
      </c>
      <c r="K7" s="20" t="s">
        <v>275</v>
      </c>
      <c r="L7" s="19" t="s">
        <v>276</v>
      </c>
      <c r="M7" s="21" t="s">
        <v>277</v>
      </c>
      <c r="N7" s="21" t="s">
        <v>278</v>
      </c>
      <c r="O7" s="21" t="s">
        <v>279</v>
      </c>
      <c r="P7" s="22" t="s">
        <v>280</v>
      </c>
      <c r="Q7" s="22" t="s">
        <v>281</v>
      </c>
      <c r="R7" s="22" t="s">
        <v>282</v>
      </c>
      <c r="S7" s="166"/>
      <c r="T7" s="13"/>
    </row>
    <row r="8" spans="2:21" ht="61.5" customHeight="1" x14ac:dyDescent="0.2">
      <c r="B8" s="89" t="s">
        <v>283</v>
      </c>
      <c r="C8" s="2"/>
      <c r="D8" s="2"/>
      <c r="E8" s="2"/>
      <c r="F8" s="90"/>
      <c r="G8" s="90"/>
      <c r="H8" s="91"/>
      <c r="I8" s="2"/>
      <c r="J8" s="2"/>
      <c r="K8" s="90"/>
      <c r="L8" s="90"/>
      <c r="M8" s="11"/>
      <c r="N8" s="11"/>
      <c r="O8" s="11"/>
      <c r="P8" s="11"/>
      <c r="Q8" s="92"/>
      <c r="R8" s="92"/>
      <c r="S8" s="11"/>
      <c r="T8" s="13"/>
    </row>
    <row r="9" spans="2:21" ht="51" customHeight="1" x14ac:dyDescent="0.2">
      <c r="B9" s="93" t="s">
        <v>284</v>
      </c>
      <c r="C9" s="2"/>
      <c r="D9" s="2"/>
      <c r="E9" s="2"/>
      <c r="F9" s="2"/>
      <c r="G9" s="2"/>
      <c r="H9" s="2"/>
      <c r="I9" s="2"/>
      <c r="J9" s="2"/>
      <c r="K9" s="2"/>
      <c r="L9" s="2"/>
      <c r="M9" s="11"/>
      <c r="N9" s="11"/>
      <c r="O9" s="11"/>
      <c r="P9" s="11"/>
      <c r="Q9" s="11"/>
      <c r="R9" s="11"/>
      <c r="S9" s="11"/>
      <c r="T9" s="13"/>
    </row>
    <row r="10" spans="2:21" ht="89.25" x14ac:dyDescent="0.2">
      <c r="B10" s="93" t="s">
        <v>285</v>
      </c>
      <c r="C10" s="2" t="s">
        <v>22</v>
      </c>
      <c r="D10" s="81">
        <f>21+31</f>
        <v>52</v>
      </c>
      <c r="E10" s="81">
        <v>32</v>
      </c>
      <c r="F10" s="8">
        <f>(E10/D10)*100</f>
        <v>61.53846153846154</v>
      </c>
      <c r="G10" s="153" t="s">
        <v>372</v>
      </c>
      <c r="H10" s="153"/>
      <c r="I10" s="4">
        <v>284</v>
      </c>
      <c r="J10" s="81">
        <f>(116+114+2+E10)</f>
        <v>264</v>
      </c>
      <c r="K10" s="4">
        <f>(J10/I10)*100</f>
        <v>92.957746478873233</v>
      </c>
      <c r="L10" s="4"/>
      <c r="M10" s="169">
        <v>47516437945</v>
      </c>
      <c r="N10" s="169">
        <v>47320212903.230003</v>
      </c>
      <c r="O10" s="169">
        <f>(N10/M10)*100</f>
        <v>99.587037559513348</v>
      </c>
      <c r="P10" s="169">
        <v>128238176031.94</v>
      </c>
      <c r="Q10" s="169">
        <f>(N10+50875315048.54)</f>
        <v>98195527951.770004</v>
      </c>
      <c r="R10" s="170">
        <f>(Q10/P10)</f>
        <v>0.7657277340509947</v>
      </c>
      <c r="S10" s="167" t="s">
        <v>286</v>
      </c>
      <c r="T10" s="13"/>
    </row>
    <row r="11" spans="2:21" ht="76.5" x14ac:dyDescent="0.2">
      <c r="B11" s="93" t="s">
        <v>287</v>
      </c>
      <c r="C11" s="5" t="s">
        <v>23</v>
      </c>
      <c r="D11" s="81">
        <v>14</v>
      </c>
      <c r="E11" s="81">
        <v>9</v>
      </c>
      <c r="F11" s="8">
        <f t="shared" ref="F11:F24" si="0">(E11/D11)*100</f>
        <v>64.285714285714292</v>
      </c>
      <c r="G11" s="153"/>
      <c r="H11" s="153"/>
      <c r="I11" s="4">
        <v>156</v>
      </c>
      <c r="J11" s="81">
        <f>(106+36+E11)</f>
        <v>151</v>
      </c>
      <c r="K11" s="4">
        <f t="shared" ref="K11:K16" si="1">(J11/I11)*100</f>
        <v>96.794871794871796</v>
      </c>
      <c r="L11" s="4"/>
      <c r="M11" s="169"/>
      <c r="N11" s="169"/>
      <c r="O11" s="169"/>
      <c r="P11" s="169"/>
      <c r="Q11" s="169"/>
      <c r="R11" s="170"/>
      <c r="S11" s="167"/>
      <c r="T11" s="13"/>
    </row>
    <row r="12" spans="2:21" x14ac:dyDescent="0.2">
      <c r="B12" s="168" t="s">
        <v>288</v>
      </c>
      <c r="C12" s="5" t="s">
        <v>24</v>
      </c>
      <c r="D12" s="81">
        <v>2</v>
      </c>
      <c r="E12" s="3">
        <v>2</v>
      </c>
      <c r="F12" s="8">
        <f t="shared" si="0"/>
        <v>100</v>
      </c>
      <c r="G12" s="153"/>
      <c r="H12" s="153"/>
      <c r="I12" s="4">
        <v>4</v>
      </c>
      <c r="J12" s="4">
        <f>(2+E12)</f>
        <v>4</v>
      </c>
      <c r="K12" s="4">
        <f t="shared" si="1"/>
        <v>100</v>
      </c>
      <c r="L12" s="4"/>
      <c r="M12" s="169"/>
      <c r="N12" s="169"/>
      <c r="O12" s="169"/>
      <c r="P12" s="169"/>
      <c r="Q12" s="169"/>
      <c r="R12" s="170"/>
      <c r="S12" s="167"/>
      <c r="T12" s="13"/>
    </row>
    <row r="13" spans="2:21" ht="83.25" customHeight="1" x14ac:dyDescent="0.2">
      <c r="B13" s="168"/>
      <c r="C13" s="5" t="s">
        <v>25</v>
      </c>
      <c r="D13" s="81">
        <v>50</v>
      </c>
      <c r="E13" s="3">
        <v>50</v>
      </c>
      <c r="F13" s="8">
        <f t="shared" si="0"/>
        <v>100</v>
      </c>
      <c r="G13" s="153"/>
      <c r="H13" s="153"/>
      <c r="I13" s="7">
        <v>100</v>
      </c>
      <c r="J13" s="81">
        <f>(50+E13)</f>
        <v>100</v>
      </c>
      <c r="K13" s="4">
        <f t="shared" si="1"/>
        <v>100</v>
      </c>
      <c r="L13" s="4"/>
      <c r="M13" s="169"/>
      <c r="N13" s="169"/>
      <c r="O13" s="169"/>
      <c r="P13" s="169"/>
      <c r="Q13" s="169"/>
      <c r="R13" s="170"/>
      <c r="S13" s="167"/>
      <c r="T13" s="13"/>
    </row>
    <row r="14" spans="2:21" ht="76.5" x14ac:dyDescent="0.2">
      <c r="B14" s="93" t="s">
        <v>289</v>
      </c>
      <c r="C14" s="5" t="s">
        <v>26</v>
      </c>
      <c r="D14" s="81">
        <v>4873</v>
      </c>
      <c r="E14" s="81">
        <v>5200</v>
      </c>
      <c r="F14" s="8">
        <v>100</v>
      </c>
      <c r="G14" s="23" t="s">
        <v>373</v>
      </c>
      <c r="H14" s="2"/>
      <c r="I14" s="4">
        <v>4873</v>
      </c>
      <c r="J14" s="81">
        <f>(0+E14)</f>
        <v>5200</v>
      </c>
      <c r="K14" s="4">
        <v>100</v>
      </c>
      <c r="L14" s="4"/>
      <c r="M14" s="169"/>
      <c r="N14" s="169"/>
      <c r="O14" s="169"/>
      <c r="P14" s="169"/>
      <c r="Q14" s="169"/>
      <c r="R14" s="170"/>
      <c r="S14" s="26" t="s">
        <v>290</v>
      </c>
      <c r="T14" s="134">
        <v>128238176031.94</v>
      </c>
      <c r="U14" s="136">
        <v>98195527951.770004</v>
      </c>
    </row>
    <row r="15" spans="2:21" ht="59.25" customHeight="1" x14ac:dyDescent="0.2">
      <c r="B15" s="93" t="s">
        <v>291</v>
      </c>
      <c r="C15" s="5" t="s">
        <v>27</v>
      </c>
      <c r="D15" s="81">
        <v>0</v>
      </c>
      <c r="E15" s="3">
        <v>0</v>
      </c>
      <c r="F15" s="8">
        <v>0</v>
      </c>
      <c r="G15" s="23" t="s">
        <v>20</v>
      </c>
      <c r="H15" s="2" t="s">
        <v>378</v>
      </c>
      <c r="I15" s="4">
        <v>1</v>
      </c>
      <c r="J15" s="81">
        <v>1</v>
      </c>
      <c r="K15" s="4">
        <f t="shared" si="1"/>
        <v>100</v>
      </c>
      <c r="L15" s="4"/>
      <c r="M15" s="169"/>
      <c r="N15" s="169"/>
      <c r="O15" s="169"/>
      <c r="P15" s="169"/>
      <c r="Q15" s="169"/>
      <c r="R15" s="170"/>
      <c r="S15" s="26"/>
      <c r="T15" s="13"/>
    </row>
    <row r="16" spans="2:21" ht="25.5" x14ac:dyDescent="0.2">
      <c r="B16" s="93" t="s">
        <v>292</v>
      </c>
      <c r="C16" s="23" t="s">
        <v>28</v>
      </c>
      <c r="D16" s="6">
        <v>1</v>
      </c>
      <c r="E16" s="81">
        <v>0</v>
      </c>
      <c r="F16" s="8">
        <f t="shared" si="0"/>
        <v>0</v>
      </c>
      <c r="G16" s="5" t="s">
        <v>374</v>
      </c>
      <c r="H16" s="2"/>
      <c r="I16" s="7">
        <v>2</v>
      </c>
      <c r="J16" s="81">
        <f>(1+E16)</f>
        <v>1</v>
      </c>
      <c r="K16" s="4">
        <f t="shared" si="1"/>
        <v>50</v>
      </c>
      <c r="L16" s="4"/>
      <c r="M16" s="169"/>
      <c r="N16" s="169"/>
      <c r="O16" s="169"/>
      <c r="P16" s="169"/>
      <c r="Q16" s="169"/>
      <c r="R16" s="170"/>
      <c r="S16" s="26"/>
      <c r="T16" s="13"/>
    </row>
    <row r="17" spans="2:21" ht="63.75" x14ac:dyDescent="0.2">
      <c r="B17" s="93" t="s">
        <v>293</v>
      </c>
      <c r="C17" s="5" t="s">
        <v>29</v>
      </c>
      <c r="D17" s="6">
        <v>700</v>
      </c>
      <c r="E17" s="81">
        <v>1022</v>
      </c>
      <c r="F17" s="8">
        <v>100</v>
      </c>
      <c r="G17" s="2" t="s">
        <v>380</v>
      </c>
      <c r="H17" s="2"/>
      <c r="I17" s="4">
        <v>2479</v>
      </c>
      <c r="J17" s="81">
        <f>(660+521+599+E17)</f>
        <v>2802</v>
      </c>
      <c r="K17" s="4">
        <v>100</v>
      </c>
      <c r="L17" s="4"/>
      <c r="M17" s="169"/>
      <c r="N17" s="169"/>
      <c r="O17" s="169"/>
      <c r="P17" s="169"/>
      <c r="Q17" s="169"/>
      <c r="R17" s="170"/>
      <c r="S17" s="26"/>
      <c r="T17" s="13"/>
    </row>
    <row r="18" spans="2:21" ht="51" x14ac:dyDescent="0.2">
      <c r="B18" s="93" t="s">
        <v>294</v>
      </c>
      <c r="C18" s="5" t="s">
        <v>30</v>
      </c>
      <c r="D18" s="81">
        <v>1</v>
      </c>
      <c r="E18" s="81">
        <v>1</v>
      </c>
      <c r="F18" s="8">
        <f t="shared" ref="F18" si="2">(E18/D18)*100</f>
        <v>100</v>
      </c>
      <c r="G18" s="2" t="s">
        <v>379</v>
      </c>
      <c r="H18" s="2"/>
      <c r="I18" s="4">
        <v>2</v>
      </c>
      <c r="J18" s="81">
        <v>2</v>
      </c>
      <c r="K18" s="4">
        <f t="shared" ref="K18" si="3">(J18/I18)*100</f>
        <v>100</v>
      </c>
      <c r="L18" s="4"/>
      <c r="M18" s="169"/>
      <c r="N18" s="169"/>
      <c r="O18" s="169"/>
      <c r="P18" s="169"/>
      <c r="Q18" s="169"/>
      <c r="R18" s="170"/>
      <c r="S18" s="26"/>
      <c r="T18" s="13"/>
    </row>
    <row r="19" spans="2:21" ht="97.5" customHeight="1" x14ac:dyDescent="0.2">
      <c r="B19" s="93" t="s">
        <v>317</v>
      </c>
      <c r="C19" s="5"/>
      <c r="D19" s="81"/>
      <c r="E19" s="81"/>
      <c r="F19" s="8"/>
      <c r="G19" s="2" t="s">
        <v>20</v>
      </c>
      <c r="H19" s="2" t="s">
        <v>20</v>
      </c>
      <c r="I19" s="4"/>
      <c r="J19" s="81"/>
      <c r="K19" s="4"/>
      <c r="L19" s="4"/>
      <c r="M19" s="84">
        <v>193562055</v>
      </c>
      <c r="N19" s="84">
        <v>193198014.44</v>
      </c>
      <c r="O19" s="85">
        <f>(N19/M19)</f>
        <v>0.99811925658673128</v>
      </c>
      <c r="P19" s="84">
        <v>193562055</v>
      </c>
      <c r="Q19" s="84">
        <v>193562052.56</v>
      </c>
      <c r="R19" s="85">
        <f>(Q19/P19)</f>
        <v>0.99999998739422358</v>
      </c>
      <c r="S19" s="5" t="s">
        <v>485</v>
      </c>
    </row>
    <row r="20" spans="2:21" x14ac:dyDescent="0.2">
      <c r="B20" s="93" t="s">
        <v>295</v>
      </c>
      <c r="C20" s="2"/>
      <c r="D20" s="53">
        <v>700</v>
      </c>
      <c r="E20" s="53"/>
      <c r="F20" s="54">
        <f>SUM(F11:F19)</f>
        <v>564.28571428571422</v>
      </c>
      <c r="G20" s="55">
        <f>F20/D20*100</f>
        <v>80.612244897959172</v>
      </c>
      <c r="H20" s="2"/>
      <c r="I20" s="61">
        <v>900</v>
      </c>
      <c r="J20" s="61"/>
      <c r="K20" s="62">
        <f>SUM(K10:K19)</f>
        <v>839.75261827374504</v>
      </c>
      <c r="L20" s="61">
        <f>K20/I20*100</f>
        <v>93.305846474860559</v>
      </c>
      <c r="M20" s="11"/>
      <c r="N20" s="11"/>
      <c r="O20" s="11"/>
      <c r="P20" s="11"/>
      <c r="Q20" s="11"/>
      <c r="R20" s="11"/>
      <c r="S20" s="11"/>
      <c r="T20" s="13"/>
    </row>
    <row r="21" spans="2:21" ht="25.5" x14ac:dyDescent="0.2">
      <c r="B21" s="93" t="s">
        <v>296</v>
      </c>
      <c r="C21" s="2"/>
      <c r="D21" s="24"/>
      <c r="E21" s="24"/>
      <c r="F21" s="8"/>
      <c r="G21" s="2"/>
      <c r="H21" s="2"/>
      <c r="I21" s="2"/>
      <c r="J21" s="2"/>
      <c r="K21" s="2"/>
      <c r="L21" s="2"/>
      <c r="M21" s="11"/>
      <c r="N21" s="11"/>
      <c r="O21" s="11"/>
      <c r="P21" s="11"/>
      <c r="Q21" s="11"/>
      <c r="R21" s="11"/>
      <c r="S21" s="11"/>
      <c r="T21" s="13"/>
    </row>
    <row r="22" spans="2:21" ht="179.25" customHeight="1" x14ac:dyDescent="0.2">
      <c r="B22" s="93" t="s">
        <v>297</v>
      </c>
      <c r="C22" s="23" t="s">
        <v>31</v>
      </c>
      <c r="D22" s="81">
        <v>0</v>
      </c>
      <c r="E22" s="81">
        <v>0</v>
      </c>
      <c r="F22" s="8">
        <v>0</v>
      </c>
      <c r="G22" s="80" t="s">
        <v>298</v>
      </c>
      <c r="H22" s="80" t="s">
        <v>20</v>
      </c>
      <c r="I22" s="80">
        <v>4</v>
      </c>
      <c r="J22" s="80">
        <v>4</v>
      </c>
      <c r="K22" s="4">
        <f>(J22/I22)*100</f>
        <v>100</v>
      </c>
      <c r="L22" s="84"/>
      <c r="M22" s="169">
        <v>0</v>
      </c>
      <c r="N22" s="169">
        <v>0</v>
      </c>
      <c r="O22" s="169">
        <v>0</v>
      </c>
      <c r="P22" s="169">
        <v>1113893735.7</v>
      </c>
      <c r="Q22" s="169">
        <v>636496782.89999998</v>
      </c>
      <c r="R22" s="170">
        <f>(Q22/P22)</f>
        <v>0.5714160718392125</v>
      </c>
      <c r="S22" s="86"/>
      <c r="T22" s="13"/>
    </row>
    <row r="23" spans="2:21" ht="64.5" customHeight="1" x14ac:dyDescent="0.2">
      <c r="B23" s="93" t="s">
        <v>299</v>
      </c>
      <c r="C23" s="23" t="s">
        <v>32</v>
      </c>
      <c r="D23" s="81">
        <v>0</v>
      </c>
      <c r="E23" s="81">
        <v>0</v>
      </c>
      <c r="F23" s="8">
        <v>0</v>
      </c>
      <c r="G23" s="80" t="s">
        <v>298</v>
      </c>
      <c r="H23" s="80" t="s">
        <v>20</v>
      </c>
      <c r="I23" s="80">
        <v>5</v>
      </c>
      <c r="J23" s="80">
        <v>5</v>
      </c>
      <c r="K23" s="4">
        <f>(J23/I23)*100</f>
        <v>100</v>
      </c>
      <c r="L23" s="84"/>
      <c r="M23" s="169"/>
      <c r="N23" s="169"/>
      <c r="O23" s="169"/>
      <c r="P23" s="169"/>
      <c r="Q23" s="169"/>
      <c r="R23" s="170"/>
      <c r="S23" s="86"/>
      <c r="T23" s="134">
        <v>1113893735.7</v>
      </c>
      <c r="U23" s="136">
        <v>636496782</v>
      </c>
    </row>
    <row r="24" spans="2:21" ht="213" customHeight="1" x14ac:dyDescent="0.2">
      <c r="B24" s="93" t="s">
        <v>375</v>
      </c>
      <c r="C24" s="7" t="s">
        <v>33</v>
      </c>
      <c r="D24" s="81">
        <v>1</v>
      </c>
      <c r="E24" s="81">
        <v>1</v>
      </c>
      <c r="F24" s="8">
        <f t="shared" si="0"/>
        <v>100</v>
      </c>
      <c r="G24" s="5" t="s">
        <v>376</v>
      </c>
      <c r="H24" s="56"/>
      <c r="I24" s="83">
        <v>4</v>
      </c>
      <c r="J24" s="80">
        <f>(3+E24)</f>
        <v>4</v>
      </c>
      <c r="K24" s="4">
        <f>(J24/I24)*100</f>
        <v>100</v>
      </c>
      <c r="L24" s="84"/>
      <c r="M24" s="169"/>
      <c r="N24" s="169"/>
      <c r="O24" s="169"/>
      <c r="P24" s="169"/>
      <c r="Q24" s="169"/>
      <c r="R24" s="170"/>
      <c r="S24" s="47" t="s">
        <v>300</v>
      </c>
      <c r="T24" s="13"/>
    </row>
    <row r="25" spans="2:21" x14ac:dyDescent="0.2">
      <c r="B25" s="93" t="s">
        <v>295</v>
      </c>
      <c r="C25" s="2"/>
      <c r="D25" s="53">
        <v>100</v>
      </c>
      <c r="E25" s="53"/>
      <c r="F25" s="53">
        <f>SUM(F22:F24)</f>
        <v>100</v>
      </c>
      <c r="G25" s="55">
        <f>F25/D25*100</f>
        <v>100</v>
      </c>
      <c r="H25" s="2"/>
      <c r="I25" s="61">
        <v>300</v>
      </c>
      <c r="J25" s="61"/>
      <c r="K25" s="61">
        <f>SUM(K22:K24)</f>
        <v>300</v>
      </c>
      <c r="L25" s="61">
        <v>100</v>
      </c>
      <c r="M25" s="11"/>
      <c r="N25" s="11"/>
      <c r="O25" s="11"/>
      <c r="P25" s="11"/>
      <c r="Q25" s="11"/>
      <c r="R25" s="11"/>
      <c r="S25" s="11"/>
      <c r="T25" s="13"/>
    </row>
    <row r="26" spans="2:21" ht="25.5" x14ac:dyDescent="0.2">
      <c r="B26" s="93" t="s">
        <v>301</v>
      </c>
      <c r="C26" s="2"/>
      <c r="D26" s="24"/>
      <c r="E26" s="24"/>
      <c r="F26" s="24"/>
      <c r="G26" s="2"/>
      <c r="H26" s="2"/>
      <c r="I26" s="2"/>
      <c r="J26" s="2"/>
      <c r="K26" s="2"/>
      <c r="L26" s="2"/>
      <c r="M26" s="11"/>
      <c r="N26" s="11"/>
      <c r="O26" s="11"/>
      <c r="P26" s="11"/>
      <c r="Q26" s="11"/>
      <c r="R26" s="11"/>
      <c r="S26" s="11"/>
      <c r="T26" s="13"/>
    </row>
    <row r="27" spans="2:21" ht="261" customHeight="1" x14ac:dyDescent="0.2">
      <c r="B27" s="93" t="s">
        <v>302</v>
      </c>
      <c r="C27" s="5" t="s">
        <v>0</v>
      </c>
      <c r="D27" s="8">
        <v>2</v>
      </c>
      <c r="E27" s="6">
        <v>1</v>
      </c>
      <c r="F27" s="8">
        <f>(E27/D27)*100</f>
        <v>50</v>
      </c>
      <c r="G27" s="2" t="s">
        <v>381</v>
      </c>
      <c r="H27" s="2"/>
      <c r="I27" s="81">
        <v>3</v>
      </c>
      <c r="J27" s="4">
        <f>(1+E27)</f>
        <v>2</v>
      </c>
      <c r="K27" s="4">
        <f t="shared" ref="K27:K33" si="4">(J27/I27)*100</f>
        <v>66.666666666666657</v>
      </c>
      <c r="L27" s="2"/>
      <c r="M27" s="169">
        <v>900000000</v>
      </c>
      <c r="N27" s="169">
        <v>802709546</v>
      </c>
      <c r="O27" s="169">
        <f>(N27/M27)*100</f>
        <v>89.189949555555557</v>
      </c>
      <c r="P27" s="169">
        <v>1979455921.2</v>
      </c>
      <c r="Q27" s="169">
        <v>1284064856.54</v>
      </c>
      <c r="R27" s="170">
        <f>(Q27/P27)</f>
        <v>0.64869585767869231</v>
      </c>
      <c r="S27" s="5"/>
      <c r="T27" s="13"/>
    </row>
    <row r="28" spans="2:21" ht="213" customHeight="1" x14ac:dyDescent="0.2">
      <c r="B28" s="93" t="s">
        <v>303</v>
      </c>
      <c r="C28" s="5" t="s">
        <v>1</v>
      </c>
      <c r="D28" s="8">
        <v>1</v>
      </c>
      <c r="E28" s="6">
        <v>1</v>
      </c>
      <c r="F28" s="8">
        <f>(E28/D28)*100</f>
        <v>100</v>
      </c>
      <c r="G28" s="2" t="s">
        <v>377</v>
      </c>
      <c r="H28" s="2"/>
      <c r="I28" s="81">
        <v>4</v>
      </c>
      <c r="J28" s="4">
        <f>(3+E28)</f>
        <v>4</v>
      </c>
      <c r="K28" s="4">
        <f t="shared" si="4"/>
        <v>100</v>
      </c>
      <c r="L28" s="2"/>
      <c r="M28" s="169"/>
      <c r="N28" s="169"/>
      <c r="O28" s="169"/>
      <c r="P28" s="169"/>
      <c r="Q28" s="169"/>
      <c r="R28" s="170"/>
      <c r="S28" s="5"/>
      <c r="T28" s="13"/>
    </row>
    <row r="29" spans="2:21" ht="38.25" x14ac:dyDescent="0.2">
      <c r="B29" s="93" t="s">
        <v>304</v>
      </c>
      <c r="C29" s="5" t="s">
        <v>34</v>
      </c>
      <c r="D29" s="8">
        <v>0</v>
      </c>
      <c r="E29" s="6">
        <v>0</v>
      </c>
      <c r="F29" s="8">
        <v>0</v>
      </c>
      <c r="G29" s="2" t="s">
        <v>298</v>
      </c>
      <c r="H29" s="2" t="s">
        <v>20</v>
      </c>
      <c r="I29" s="81">
        <v>1</v>
      </c>
      <c r="J29" s="4">
        <v>1</v>
      </c>
      <c r="K29" s="4">
        <f t="shared" si="4"/>
        <v>100</v>
      </c>
      <c r="L29" s="2"/>
      <c r="M29" s="169"/>
      <c r="N29" s="169"/>
      <c r="O29" s="169"/>
      <c r="P29" s="169"/>
      <c r="Q29" s="169"/>
      <c r="R29" s="170"/>
      <c r="S29" s="5"/>
      <c r="T29" s="134">
        <v>1979455921.2</v>
      </c>
      <c r="U29" s="136">
        <v>1284064856.54</v>
      </c>
    </row>
    <row r="30" spans="2:21" ht="69" customHeight="1" x14ac:dyDescent="0.2">
      <c r="B30" s="93" t="s">
        <v>305</v>
      </c>
      <c r="C30" s="5" t="s">
        <v>35</v>
      </c>
      <c r="D30" s="8">
        <v>1</v>
      </c>
      <c r="E30" s="6">
        <v>1</v>
      </c>
      <c r="F30" s="8">
        <f t="shared" ref="F30:F32" si="5">(E30/D30)*100</f>
        <v>100</v>
      </c>
      <c r="G30" s="2" t="s">
        <v>382</v>
      </c>
      <c r="H30" s="2"/>
      <c r="I30" s="81">
        <v>1</v>
      </c>
      <c r="J30" s="4">
        <f>(0+E30)</f>
        <v>1</v>
      </c>
      <c r="K30" s="4">
        <f t="shared" si="4"/>
        <v>100</v>
      </c>
      <c r="L30" s="2"/>
      <c r="M30" s="169"/>
      <c r="N30" s="169"/>
      <c r="O30" s="169"/>
      <c r="P30" s="169"/>
      <c r="Q30" s="169"/>
      <c r="R30" s="170"/>
      <c r="S30" s="5"/>
      <c r="T30" s="13"/>
    </row>
    <row r="31" spans="2:21" ht="127.5" x14ac:dyDescent="0.2">
      <c r="B31" s="93" t="s">
        <v>306</v>
      </c>
      <c r="C31" s="5" t="s">
        <v>2</v>
      </c>
      <c r="D31" s="8">
        <v>2</v>
      </c>
      <c r="E31" s="6">
        <v>1</v>
      </c>
      <c r="F31" s="8">
        <f t="shared" si="5"/>
        <v>50</v>
      </c>
      <c r="G31" s="2" t="s">
        <v>381</v>
      </c>
      <c r="H31" s="2"/>
      <c r="I31" s="81">
        <v>5</v>
      </c>
      <c r="J31" s="4">
        <f>(2+E31)</f>
        <v>3</v>
      </c>
      <c r="K31" s="4">
        <f t="shared" si="4"/>
        <v>60</v>
      </c>
      <c r="L31" s="2"/>
      <c r="M31" s="169"/>
      <c r="N31" s="169"/>
      <c r="O31" s="169"/>
      <c r="P31" s="169"/>
      <c r="Q31" s="169"/>
      <c r="R31" s="170"/>
      <c r="S31" s="5"/>
      <c r="T31" s="13"/>
    </row>
    <row r="32" spans="2:21" ht="89.25" x14ac:dyDescent="0.2">
      <c r="B32" s="93" t="s">
        <v>307</v>
      </c>
      <c r="C32" s="5" t="s">
        <v>36</v>
      </c>
      <c r="D32" s="81">
        <v>1</v>
      </c>
      <c r="E32" s="6">
        <v>1</v>
      </c>
      <c r="F32" s="8">
        <f t="shared" si="5"/>
        <v>100</v>
      </c>
      <c r="G32" s="2" t="s">
        <v>383</v>
      </c>
      <c r="H32" s="2"/>
      <c r="I32" s="81">
        <v>4</v>
      </c>
      <c r="J32" s="4">
        <f>(3+E32)</f>
        <v>4</v>
      </c>
      <c r="K32" s="4">
        <f t="shared" si="4"/>
        <v>100</v>
      </c>
      <c r="L32" s="2"/>
      <c r="M32" s="169"/>
      <c r="N32" s="169"/>
      <c r="O32" s="169"/>
      <c r="P32" s="169"/>
      <c r="Q32" s="169"/>
      <c r="R32" s="170"/>
      <c r="S32" s="5"/>
      <c r="T32" s="13"/>
    </row>
    <row r="33" spans="2:21" ht="63.75" customHeight="1" x14ac:dyDescent="0.2">
      <c r="B33" s="93" t="s">
        <v>308</v>
      </c>
      <c r="C33" s="5" t="s">
        <v>37</v>
      </c>
      <c r="D33" s="81">
        <v>0</v>
      </c>
      <c r="E33" s="6">
        <v>0</v>
      </c>
      <c r="F33" s="8">
        <v>0</v>
      </c>
      <c r="G33" s="2" t="s">
        <v>298</v>
      </c>
      <c r="H33" s="2" t="s">
        <v>20</v>
      </c>
      <c r="I33" s="81">
        <v>1</v>
      </c>
      <c r="J33" s="4">
        <v>1</v>
      </c>
      <c r="K33" s="4">
        <f t="shared" si="4"/>
        <v>100</v>
      </c>
      <c r="L33" s="2"/>
      <c r="M33" s="169"/>
      <c r="N33" s="169"/>
      <c r="O33" s="169"/>
      <c r="P33" s="169"/>
      <c r="Q33" s="169"/>
      <c r="R33" s="170"/>
      <c r="S33" s="5" t="s">
        <v>309</v>
      </c>
      <c r="T33" s="13"/>
    </row>
    <row r="34" spans="2:21" x14ac:dyDescent="0.2">
      <c r="B34" s="93" t="s">
        <v>295</v>
      </c>
      <c r="C34" s="2"/>
      <c r="D34" s="53">
        <v>500</v>
      </c>
      <c r="E34" s="53"/>
      <c r="F34" s="53">
        <f>SUM(F27:F33)</f>
        <v>400</v>
      </c>
      <c r="G34" s="55">
        <f>F34/D34*100</f>
        <v>80</v>
      </c>
      <c r="H34" s="2"/>
      <c r="I34" s="61">
        <v>700</v>
      </c>
      <c r="J34" s="61"/>
      <c r="K34" s="61">
        <f>SUM(K27:K33)</f>
        <v>626.66666666666663</v>
      </c>
      <c r="L34" s="61">
        <f>K34/I34*100</f>
        <v>89.523809523809518</v>
      </c>
      <c r="M34" s="11"/>
      <c r="N34" s="11"/>
      <c r="O34" s="11"/>
      <c r="P34" s="11"/>
      <c r="Q34" s="11"/>
      <c r="R34" s="11"/>
      <c r="S34" s="11"/>
      <c r="T34" s="13"/>
    </row>
    <row r="35" spans="2:21" ht="51" x14ac:dyDescent="0.2">
      <c r="B35" s="93" t="s">
        <v>310</v>
      </c>
      <c r="C35" s="2"/>
      <c r="D35" s="24"/>
      <c r="E35" s="24"/>
      <c r="F35" s="24"/>
      <c r="G35" s="2"/>
      <c r="H35" s="2"/>
      <c r="I35" s="2"/>
      <c r="J35" s="2"/>
      <c r="K35" s="2"/>
      <c r="L35" s="2"/>
      <c r="M35" s="11"/>
      <c r="N35" s="11"/>
      <c r="O35" s="11"/>
      <c r="P35" s="11"/>
      <c r="Q35" s="11"/>
      <c r="R35" s="11"/>
      <c r="S35" s="11"/>
      <c r="T35" s="13"/>
    </row>
    <row r="36" spans="2:21" ht="94.5" customHeight="1" x14ac:dyDescent="0.2">
      <c r="B36" s="93" t="s">
        <v>311</v>
      </c>
      <c r="C36" s="5" t="s">
        <v>38</v>
      </c>
      <c r="D36" s="81">
        <v>0</v>
      </c>
      <c r="E36" s="81">
        <v>0</v>
      </c>
      <c r="F36" s="8">
        <v>0</v>
      </c>
      <c r="G36" s="2" t="s">
        <v>298</v>
      </c>
      <c r="H36" s="2" t="s">
        <v>20</v>
      </c>
      <c r="I36" s="81">
        <v>13</v>
      </c>
      <c r="J36" s="81">
        <f>(6+7)</f>
        <v>13</v>
      </c>
      <c r="K36" s="4">
        <f>(J36/I36)*100</f>
        <v>100</v>
      </c>
      <c r="L36" s="2"/>
      <c r="M36" s="169">
        <v>5400000000</v>
      </c>
      <c r="N36" s="169">
        <v>1679816168.7</v>
      </c>
      <c r="O36" s="171">
        <f>(N36/M36)</f>
        <v>0.31107706827777781</v>
      </c>
      <c r="P36" s="169">
        <f>11278578987-P19</f>
        <v>11085016932</v>
      </c>
      <c r="Q36" s="169">
        <f>5602231182-Q19</f>
        <v>5408669129.4399996</v>
      </c>
      <c r="R36" s="170">
        <f>(Q36/P36)</f>
        <v>0.48792610445423534</v>
      </c>
      <c r="S36" s="5" t="s">
        <v>312</v>
      </c>
      <c r="T36" s="13"/>
    </row>
    <row r="37" spans="2:21" ht="103.5" customHeight="1" x14ac:dyDescent="0.2">
      <c r="B37" s="93" t="s">
        <v>313</v>
      </c>
      <c r="C37" s="5" t="s">
        <v>39</v>
      </c>
      <c r="D37" s="81">
        <v>8</v>
      </c>
      <c r="E37" s="81">
        <v>8</v>
      </c>
      <c r="F37" s="8">
        <f>(E37/D37)*100</f>
        <v>100</v>
      </c>
      <c r="G37" s="25" t="s">
        <v>384</v>
      </c>
      <c r="H37" s="69"/>
      <c r="I37" s="81">
        <v>8</v>
      </c>
      <c r="J37" s="81">
        <f>(0+E37)</f>
        <v>8</v>
      </c>
      <c r="K37" s="4">
        <f>(J37/I37)*100</f>
        <v>100</v>
      </c>
      <c r="L37" s="2"/>
      <c r="M37" s="169"/>
      <c r="N37" s="169"/>
      <c r="O37" s="171"/>
      <c r="P37" s="169"/>
      <c r="Q37" s="169"/>
      <c r="R37" s="170"/>
      <c r="S37" s="80"/>
      <c r="T37" s="134">
        <v>11085016932</v>
      </c>
      <c r="U37" s="136">
        <v>5408669129.4399996</v>
      </c>
    </row>
    <row r="38" spans="2:21" ht="76.5" x14ac:dyDescent="0.2">
      <c r="B38" s="93" t="s">
        <v>314</v>
      </c>
      <c r="C38" s="5" t="s">
        <v>40</v>
      </c>
      <c r="D38" s="81">
        <v>1</v>
      </c>
      <c r="E38" s="81">
        <v>1</v>
      </c>
      <c r="F38" s="8">
        <f>(E38/D38)*100</f>
        <v>100</v>
      </c>
      <c r="G38" s="2" t="s">
        <v>385</v>
      </c>
      <c r="H38" s="25"/>
      <c r="I38" s="5">
        <v>3</v>
      </c>
      <c r="J38" s="5">
        <f>(2+E38)</f>
        <v>3</v>
      </c>
      <c r="K38" s="4">
        <f>(J38/I38)*100</f>
        <v>100</v>
      </c>
      <c r="L38" s="2"/>
      <c r="M38" s="169"/>
      <c r="N38" s="169"/>
      <c r="O38" s="171"/>
      <c r="P38" s="169"/>
      <c r="Q38" s="169"/>
      <c r="R38" s="170"/>
      <c r="S38" s="5" t="s">
        <v>315</v>
      </c>
      <c r="T38" s="13"/>
    </row>
    <row r="39" spans="2:21" ht="38.25" x14ac:dyDescent="0.25">
      <c r="B39" s="93" t="s">
        <v>316</v>
      </c>
      <c r="C39" s="5" t="s">
        <v>41</v>
      </c>
      <c r="D39" s="81">
        <v>1</v>
      </c>
      <c r="E39" s="81">
        <v>1</v>
      </c>
      <c r="F39" s="8">
        <f>(E39/D39)*100</f>
        <v>100</v>
      </c>
      <c r="G39" s="25" t="s">
        <v>386</v>
      </c>
      <c r="H39" s="68"/>
      <c r="I39" s="5">
        <v>3</v>
      </c>
      <c r="J39" s="5">
        <f>(2+E39)</f>
        <v>3</v>
      </c>
      <c r="K39" s="4">
        <f>(J39/I39)*100</f>
        <v>100</v>
      </c>
      <c r="L39" s="2"/>
      <c r="M39" s="169"/>
      <c r="N39" s="169"/>
      <c r="O39" s="171"/>
      <c r="P39" s="169"/>
      <c r="Q39" s="169"/>
      <c r="R39" s="170"/>
      <c r="S39" s="94"/>
      <c r="T39" s="13"/>
    </row>
    <row r="40" spans="2:21" x14ac:dyDescent="0.2">
      <c r="B40" s="93" t="s">
        <v>295</v>
      </c>
      <c r="C40" s="2"/>
      <c r="D40" s="53">
        <v>300</v>
      </c>
      <c r="E40" s="53"/>
      <c r="F40" s="53">
        <f>SUM(F36:F39)</f>
        <v>300</v>
      </c>
      <c r="G40" s="55">
        <f>(F40/D40)*100</f>
        <v>100</v>
      </c>
      <c r="H40" s="2"/>
      <c r="I40" s="61">
        <v>400</v>
      </c>
      <c r="J40" s="61"/>
      <c r="K40" s="61">
        <f>SUM(K36:K39)</f>
        <v>400</v>
      </c>
      <c r="L40" s="61">
        <v>100</v>
      </c>
      <c r="M40" s="11"/>
      <c r="N40" s="11"/>
      <c r="O40" s="11"/>
      <c r="P40" s="11"/>
      <c r="Q40" s="11"/>
      <c r="R40" s="11"/>
      <c r="S40" s="11"/>
      <c r="T40" s="13"/>
    </row>
    <row r="41" spans="2:21" x14ac:dyDescent="0.2">
      <c r="B41" s="93" t="s">
        <v>295</v>
      </c>
      <c r="C41" s="2"/>
      <c r="D41" s="24"/>
      <c r="E41" s="24"/>
      <c r="F41" s="24"/>
      <c r="G41" s="2"/>
      <c r="H41" s="2"/>
      <c r="I41" s="2"/>
      <c r="J41" s="2"/>
      <c r="K41" s="2"/>
      <c r="L41" s="2"/>
      <c r="M41" s="11"/>
      <c r="N41" s="11"/>
      <c r="O41" s="11"/>
      <c r="P41" s="11"/>
      <c r="Q41" s="11"/>
      <c r="R41" s="11"/>
      <c r="S41" s="11"/>
      <c r="T41" s="13"/>
    </row>
    <row r="42" spans="2:21" ht="25.5" x14ac:dyDescent="0.2">
      <c r="B42" s="89" t="s">
        <v>318</v>
      </c>
      <c r="C42" s="2"/>
      <c r="D42" s="24"/>
      <c r="E42" s="24"/>
      <c r="F42" s="24"/>
      <c r="G42" s="2"/>
      <c r="H42" s="2"/>
      <c r="I42" s="2"/>
      <c r="J42" s="2"/>
      <c r="K42" s="2"/>
      <c r="L42" s="2"/>
      <c r="M42" s="11"/>
      <c r="N42" s="11"/>
      <c r="O42" s="11"/>
      <c r="P42" s="11"/>
      <c r="Q42" s="11"/>
      <c r="R42" s="11"/>
      <c r="S42" s="11"/>
      <c r="T42" s="13"/>
    </row>
    <row r="43" spans="2:21" ht="25.5" x14ac:dyDescent="0.2">
      <c r="B43" s="93" t="s">
        <v>319</v>
      </c>
      <c r="C43" s="2"/>
      <c r="D43" s="24"/>
      <c r="E43" s="24"/>
      <c r="F43" s="24"/>
      <c r="G43" s="2"/>
      <c r="H43" s="2"/>
      <c r="I43" s="2"/>
      <c r="J43" s="2"/>
      <c r="K43" s="2"/>
      <c r="L43" s="2"/>
      <c r="M43" s="11"/>
      <c r="N43" s="11"/>
      <c r="O43" s="11"/>
      <c r="P43" s="11"/>
      <c r="Q43" s="11"/>
      <c r="R43" s="11"/>
      <c r="S43" s="11"/>
      <c r="T43" s="13"/>
    </row>
    <row r="44" spans="2:21" ht="51" x14ac:dyDescent="0.25">
      <c r="B44" s="93" t="s">
        <v>42</v>
      </c>
      <c r="C44" s="23" t="s">
        <v>43</v>
      </c>
      <c r="D44" s="6">
        <v>185.5</v>
      </c>
      <c r="E44" s="6">
        <v>49.5</v>
      </c>
      <c r="F44" s="81">
        <f>(E44/D44)*100</f>
        <v>26.68463611859838</v>
      </c>
      <c r="G44" s="2" t="s">
        <v>410</v>
      </c>
      <c r="H44" s="68"/>
      <c r="I44" s="4">
        <v>748.5</v>
      </c>
      <c r="J44" s="5">
        <f>(563+E44)</f>
        <v>612.5</v>
      </c>
      <c r="K44" s="5">
        <f>(J44/I44)*100</f>
        <v>81.830327321309284</v>
      </c>
      <c r="L44" s="2"/>
      <c r="M44" s="173">
        <v>8190000000</v>
      </c>
      <c r="N44" s="173">
        <v>7894869349.9099998</v>
      </c>
      <c r="O44" s="173">
        <f>(N44/M44)*100</f>
        <v>96.396451158852258</v>
      </c>
      <c r="P44" s="173">
        <v>14557952552.209999</v>
      </c>
      <c r="Q44" s="173">
        <f>(N44+3380016099.7)</f>
        <v>11274885449.610001</v>
      </c>
      <c r="R44" s="175">
        <f>(Q44/P44)*100</f>
        <v>77.448290954200104</v>
      </c>
      <c r="S44" s="95" t="s">
        <v>320</v>
      </c>
      <c r="T44" s="13"/>
    </row>
    <row r="45" spans="2:21" ht="38.25" x14ac:dyDescent="0.2">
      <c r="B45" s="93" t="s">
        <v>44</v>
      </c>
      <c r="C45" s="23" t="s">
        <v>45</v>
      </c>
      <c r="D45" s="6">
        <v>30000</v>
      </c>
      <c r="E45" s="6">
        <v>30000</v>
      </c>
      <c r="F45" s="81">
        <f>(E45/D45)*100</f>
        <v>100</v>
      </c>
      <c r="G45" s="2" t="s">
        <v>387</v>
      </c>
      <c r="H45" s="2"/>
      <c r="I45" s="4">
        <v>50000</v>
      </c>
      <c r="J45" s="4">
        <f>(20000+E45)</f>
        <v>50000</v>
      </c>
      <c r="K45" s="5">
        <f t="shared" ref="K45:K58" si="6">(J45/I45)*100</f>
        <v>100</v>
      </c>
      <c r="L45" s="2"/>
      <c r="M45" s="173"/>
      <c r="N45" s="173"/>
      <c r="O45" s="173"/>
      <c r="P45" s="173"/>
      <c r="Q45" s="173"/>
      <c r="R45" s="175"/>
      <c r="S45" s="26"/>
      <c r="T45" s="13"/>
    </row>
    <row r="46" spans="2:21" ht="63.75" x14ac:dyDescent="0.2">
      <c r="B46" s="93" t="s">
        <v>46</v>
      </c>
      <c r="C46" s="23" t="s">
        <v>47</v>
      </c>
      <c r="D46" s="6">
        <v>240</v>
      </c>
      <c r="E46" s="8">
        <v>400</v>
      </c>
      <c r="F46" s="81">
        <v>100</v>
      </c>
      <c r="G46" s="2" t="s">
        <v>388</v>
      </c>
      <c r="H46" s="2"/>
      <c r="I46" s="4">
        <v>240</v>
      </c>
      <c r="J46" s="5">
        <f>(0+E46)</f>
        <v>400</v>
      </c>
      <c r="K46" s="5">
        <v>100</v>
      </c>
      <c r="L46" s="2"/>
      <c r="M46" s="173"/>
      <c r="N46" s="173"/>
      <c r="O46" s="173"/>
      <c r="P46" s="173"/>
      <c r="Q46" s="173"/>
      <c r="R46" s="175"/>
      <c r="S46" s="153"/>
      <c r="T46" s="13"/>
    </row>
    <row r="47" spans="2:21" ht="51" x14ac:dyDescent="0.2">
      <c r="B47" s="93" t="s">
        <v>48</v>
      </c>
      <c r="C47" s="23" t="s">
        <v>49</v>
      </c>
      <c r="D47" s="6">
        <v>300</v>
      </c>
      <c r="E47" s="8">
        <v>270</v>
      </c>
      <c r="F47" s="81">
        <f>(E47/D47)*100</f>
        <v>90</v>
      </c>
      <c r="G47" s="2" t="s">
        <v>389</v>
      </c>
      <c r="H47" s="2"/>
      <c r="I47" s="4">
        <v>300</v>
      </c>
      <c r="J47" s="5">
        <f>(0+E47)</f>
        <v>270</v>
      </c>
      <c r="K47" s="5">
        <f t="shared" si="6"/>
        <v>90</v>
      </c>
      <c r="L47" s="2"/>
      <c r="M47" s="173"/>
      <c r="N47" s="173"/>
      <c r="O47" s="173"/>
      <c r="P47" s="173"/>
      <c r="Q47" s="173"/>
      <c r="R47" s="175"/>
      <c r="S47" s="153"/>
      <c r="T47" s="13"/>
    </row>
    <row r="48" spans="2:21" ht="18.75" customHeight="1" x14ac:dyDescent="0.25">
      <c r="B48" s="168" t="s">
        <v>50</v>
      </c>
      <c r="C48" s="23" t="s">
        <v>51</v>
      </c>
      <c r="D48" s="3">
        <v>40</v>
      </c>
      <c r="E48" s="6">
        <v>40</v>
      </c>
      <c r="F48" s="81">
        <f t="shared" ref="F48:F58" si="7">(E48/D48)*100</f>
        <v>100</v>
      </c>
      <c r="G48" s="2" t="s">
        <v>390</v>
      </c>
      <c r="H48" s="2"/>
      <c r="I48" s="4">
        <v>160</v>
      </c>
      <c r="J48" s="4">
        <f>(120+E48)</f>
        <v>160</v>
      </c>
      <c r="K48" s="5">
        <f t="shared" si="6"/>
        <v>100</v>
      </c>
      <c r="L48" s="2"/>
      <c r="M48" s="173"/>
      <c r="N48" s="173"/>
      <c r="O48" s="173"/>
      <c r="P48" s="173"/>
      <c r="Q48" s="173"/>
      <c r="R48" s="175"/>
      <c r="S48" s="96"/>
      <c r="T48" s="13"/>
    </row>
    <row r="49" spans="2:21" ht="25.5" x14ac:dyDescent="0.25">
      <c r="B49" s="168"/>
      <c r="C49" s="23" t="s">
        <v>3</v>
      </c>
      <c r="D49" s="3">
        <v>10</v>
      </c>
      <c r="E49" s="6">
        <v>10</v>
      </c>
      <c r="F49" s="81">
        <f t="shared" si="7"/>
        <v>100</v>
      </c>
      <c r="G49" s="2" t="s">
        <v>390</v>
      </c>
      <c r="H49" s="2"/>
      <c r="I49" s="4">
        <v>40</v>
      </c>
      <c r="J49" s="4">
        <f>(30+E49)</f>
        <v>40</v>
      </c>
      <c r="K49" s="5">
        <f t="shared" si="6"/>
        <v>100</v>
      </c>
      <c r="L49" s="2"/>
      <c r="M49" s="173"/>
      <c r="N49" s="173"/>
      <c r="O49" s="173"/>
      <c r="P49" s="173"/>
      <c r="Q49" s="173"/>
      <c r="R49" s="175"/>
      <c r="S49" s="96"/>
      <c r="T49" s="13"/>
    </row>
    <row r="50" spans="2:21" ht="51" x14ac:dyDescent="0.25">
      <c r="B50" s="93" t="s">
        <v>52</v>
      </c>
      <c r="C50" s="23" t="s">
        <v>53</v>
      </c>
      <c r="D50" s="3">
        <v>100</v>
      </c>
      <c r="E50" s="6">
        <v>100</v>
      </c>
      <c r="F50" s="81">
        <f t="shared" si="7"/>
        <v>100</v>
      </c>
      <c r="G50" s="2" t="s">
        <v>390</v>
      </c>
      <c r="H50" s="2"/>
      <c r="I50" s="4">
        <v>100</v>
      </c>
      <c r="J50" s="4">
        <f>(75+E50)</f>
        <v>175</v>
      </c>
      <c r="K50" s="5">
        <v>100</v>
      </c>
      <c r="L50" s="2"/>
      <c r="M50" s="173"/>
      <c r="N50" s="173"/>
      <c r="O50" s="173"/>
      <c r="P50" s="173"/>
      <c r="Q50" s="173"/>
      <c r="R50" s="175"/>
      <c r="S50" s="96"/>
      <c r="T50" s="13"/>
    </row>
    <row r="51" spans="2:21" ht="25.5" x14ac:dyDescent="0.25">
      <c r="B51" s="168" t="s">
        <v>54</v>
      </c>
      <c r="C51" s="23" t="s">
        <v>55</v>
      </c>
      <c r="D51" s="6">
        <v>1</v>
      </c>
      <c r="E51" s="8">
        <v>1</v>
      </c>
      <c r="F51" s="81">
        <f t="shared" si="7"/>
        <v>100</v>
      </c>
      <c r="G51" s="2" t="s">
        <v>390</v>
      </c>
      <c r="H51" s="2"/>
      <c r="I51" s="4">
        <v>3</v>
      </c>
      <c r="J51" s="4">
        <f>(2+E51)</f>
        <v>3</v>
      </c>
      <c r="K51" s="5">
        <f t="shared" si="6"/>
        <v>100</v>
      </c>
      <c r="L51" s="2"/>
      <c r="M51" s="173"/>
      <c r="N51" s="173"/>
      <c r="O51" s="173"/>
      <c r="P51" s="173"/>
      <c r="Q51" s="173"/>
      <c r="R51" s="175"/>
      <c r="S51" s="96"/>
      <c r="T51" s="13"/>
    </row>
    <row r="52" spans="2:21" ht="38.25" x14ac:dyDescent="0.25">
      <c r="B52" s="168"/>
      <c r="C52" s="23" t="s">
        <v>56</v>
      </c>
      <c r="D52" s="6">
        <v>25</v>
      </c>
      <c r="E52" s="8">
        <v>25</v>
      </c>
      <c r="F52" s="81">
        <f t="shared" si="7"/>
        <v>100</v>
      </c>
      <c r="G52" s="2" t="s">
        <v>390</v>
      </c>
      <c r="H52" s="2"/>
      <c r="I52" s="4">
        <v>75</v>
      </c>
      <c r="J52" s="4">
        <f>(50+E52)</f>
        <v>75</v>
      </c>
      <c r="K52" s="5">
        <f t="shared" si="6"/>
        <v>100</v>
      </c>
      <c r="L52" s="2"/>
      <c r="M52" s="173"/>
      <c r="N52" s="173"/>
      <c r="O52" s="173"/>
      <c r="P52" s="173"/>
      <c r="Q52" s="173"/>
      <c r="R52" s="175"/>
      <c r="S52" s="97"/>
      <c r="T52" s="134">
        <v>14557952552.209999</v>
      </c>
      <c r="U52" s="136">
        <v>11274885449.610001</v>
      </c>
    </row>
    <row r="53" spans="2:21" ht="38.25" x14ac:dyDescent="0.2">
      <c r="B53" s="168" t="s">
        <v>57</v>
      </c>
      <c r="C53" s="23" t="s">
        <v>4</v>
      </c>
      <c r="D53" s="6">
        <v>0</v>
      </c>
      <c r="E53" s="6">
        <v>0</v>
      </c>
      <c r="F53" s="81">
        <v>0</v>
      </c>
      <c r="G53" s="2" t="s">
        <v>298</v>
      </c>
      <c r="H53" s="2" t="s">
        <v>20</v>
      </c>
      <c r="I53" s="4">
        <v>100</v>
      </c>
      <c r="J53" s="4">
        <v>100</v>
      </c>
      <c r="K53" s="5">
        <f t="shared" si="6"/>
        <v>100</v>
      </c>
      <c r="L53" s="2"/>
      <c r="M53" s="173"/>
      <c r="N53" s="173"/>
      <c r="O53" s="173"/>
      <c r="P53" s="173"/>
      <c r="Q53" s="173"/>
      <c r="R53" s="175"/>
      <c r="S53" s="172"/>
      <c r="T53" s="13"/>
    </row>
    <row r="54" spans="2:21" ht="51" x14ac:dyDescent="0.2">
      <c r="B54" s="168"/>
      <c r="C54" s="23" t="s">
        <v>5</v>
      </c>
      <c r="D54" s="6">
        <v>0</v>
      </c>
      <c r="E54" s="6">
        <v>0</v>
      </c>
      <c r="F54" s="81">
        <v>0</v>
      </c>
      <c r="G54" s="2" t="s">
        <v>298</v>
      </c>
      <c r="H54" s="2" t="s">
        <v>20</v>
      </c>
      <c r="I54" s="4">
        <v>100</v>
      </c>
      <c r="J54" s="4">
        <v>100</v>
      </c>
      <c r="K54" s="5">
        <f t="shared" si="6"/>
        <v>100</v>
      </c>
      <c r="L54" s="2"/>
      <c r="M54" s="173"/>
      <c r="N54" s="173"/>
      <c r="O54" s="173"/>
      <c r="P54" s="173"/>
      <c r="Q54" s="173"/>
      <c r="R54" s="175"/>
      <c r="S54" s="172"/>
      <c r="T54" s="13"/>
    </row>
    <row r="55" spans="2:21" ht="63.75" x14ac:dyDescent="0.2">
      <c r="B55" s="93" t="s">
        <v>58</v>
      </c>
      <c r="C55" s="10" t="s">
        <v>59</v>
      </c>
      <c r="D55" s="6">
        <v>1</v>
      </c>
      <c r="E55" s="6">
        <v>1</v>
      </c>
      <c r="F55" s="81">
        <f t="shared" si="7"/>
        <v>100</v>
      </c>
      <c r="G55" s="2" t="s">
        <v>321</v>
      </c>
      <c r="H55" s="2" t="s">
        <v>20</v>
      </c>
      <c r="I55" s="4">
        <v>3</v>
      </c>
      <c r="J55" s="5">
        <v>3</v>
      </c>
      <c r="K55" s="5">
        <f t="shared" si="6"/>
        <v>100</v>
      </c>
      <c r="L55" s="2" t="s">
        <v>322</v>
      </c>
      <c r="M55" s="173"/>
      <c r="N55" s="173"/>
      <c r="O55" s="173"/>
      <c r="P55" s="173"/>
      <c r="Q55" s="173"/>
      <c r="R55" s="175"/>
      <c r="S55" s="5" t="s">
        <v>323</v>
      </c>
      <c r="T55" s="13"/>
    </row>
    <row r="56" spans="2:21" ht="51" x14ac:dyDescent="0.25">
      <c r="B56" s="93" t="s">
        <v>60</v>
      </c>
      <c r="C56" s="25" t="s">
        <v>61</v>
      </c>
      <c r="D56" s="6">
        <v>2</v>
      </c>
      <c r="E56" s="81">
        <v>0</v>
      </c>
      <c r="F56" s="81">
        <v>0</v>
      </c>
      <c r="G56" s="2" t="s">
        <v>391</v>
      </c>
      <c r="H56" s="2"/>
      <c r="I56" s="4">
        <v>2</v>
      </c>
      <c r="J56" s="5">
        <f>(0+E56)</f>
        <v>0</v>
      </c>
      <c r="K56" s="5">
        <f t="shared" si="6"/>
        <v>0</v>
      </c>
      <c r="L56" s="2"/>
      <c r="M56" s="173"/>
      <c r="N56" s="173"/>
      <c r="O56" s="173"/>
      <c r="P56" s="173"/>
      <c r="Q56" s="173"/>
      <c r="R56" s="175"/>
      <c r="S56" s="97"/>
      <c r="T56" s="13"/>
    </row>
    <row r="57" spans="2:21" ht="38.25" x14ac:dyDescent="0.2">
      <c r="B57" s="93" t="s">
        <v>62</v>
      </c>
      <c r="C57" s="23" t="s">
        <v>63</v>
      </c>
      <c r="D57" s="6">
        <v>2</v>
      </c>
      <c r="E57" s="81">
        <v>0</v>
      </c>
      <c r="F57" s="81">
        <v>0</v>
      </c>
      <c r="G57" s="2" t="s">
        <v>392</v>
      </c>
      <c r="H57" s="2"/>
      <c r="I57" s="4">
        <v>2</v>
      </c>
      <c r="J57" s="5">
        <f>(0+E57)</f>
        <v>0</v>
      </c>
      <c r="K57" s="5">
        <f t="shared" si="6"/>
        <v>0</v>
      </c>
      <c r="L57" s="2"/>
      <c r="M57" s="173"/>
      <c r="N57" s="173"/>
      <c r="O57" s="173"/>
      <c r="P57" s="173"/>
      <c r="Q57" s="173"/>
      <c r="R57" s="175"/>
      <c r="S57" s="47"/>
      <c r="T57" s="13"/>
    </row>
    <row r="58" spans="2:21" ht="38.25" x14ac:dyDescent="0.25">
      <c r="B58" s="93" t="s">
        <v>64</v>
      </c>
      <c r="C58" s="23" t="s">
        <v>65</v>
      </c>
      <c r="D58" s="6">
        <v>2</v>
      </c>
      <c r="E58" s="81">
        <v>0</v>
      </c>
      <c r="F58" s="81">
        <f t="shared" si="7"/>
        <v>0</v>
      </c>
      <c r="G58" s="2" t="s">
        <v>392</v>
      </c>
      <c r="H58" s="2"/>
      <c r="I58" s="4">
        <v>3</v>
      </c>
      <c r="J58" s="5">
        <f>(1+E58)</f>
        <v>1</v>
      </c>
      <c r="K58" s="5">
        <f t="shared" si="6"/>
        <v>33.333333333333329</v>
      </c>
      <c r="L58" s="2"/>
      <c r="M58" s="173"/>
      <c r="N58" s="173"/>
      <c r="O58" s="173"/>
      <c r="P58" s="173"/>
      <c r="Q58" s="173"/>
      <c r="R58" s="175"/>
      <c r="S58" s="97"/>
      <c r="T58" s="13"/>
    </row>
    <row r="59" spans="2:21" x14ac:dyDescent="0.2">
      <c r="B59" s="93" t="s">
        <v>295</v>
      </c>
      <c r="C59" s="88"/>
      <c r="D59" s="57">
        <v>1300</v>
      </c>
      <c r="E59" s="53"/>
      <c r="F59" s="53">
        <f>SUM(F44:F58)</f>
        <v>916.68463611859841</v>
      </c>
      <c r="G59" s="55">
        <f>F59/D59*100</f>
        <v>70.51420277835372</v>
      </c>
      <c r="H59" s="2"/>
      <c r="I59" s="61">
        <v>1500</v>
      </c>
      <c r="J59" s="63"/>
      <c r="K59" s="61">
        <f>SUM(K44:K58)</f>
        <v>1205.1636606546424</v>
      </c>
      <c r="L59" s="61">
        <f>K59/I59*100</f>
        <v>80.344244043642831</v>
      </c>
      <c r="M59" s="11"/>
      <c r="N59" s="11"/>
      <c r="O59" s="11"/>
      <c r="P59" s="11"/>
      <c r="Q59" s="11"/>
      <c r="R59" s="11"/>
      <c r="S59" s="11"/>
      <c r="T59" s="13"/>
    </row>
    <row r="60" spans="2:21" ht="25.5" x14ac:dyDescent="0.2">
      <c r="B60" s="93" t="s">
        <v>324</v>
      </c>
      <c r="C60" s="2"/>
      <c r="D60" s="24"/>
      <c r="E60" s="24"/>
      <c r="F60" s="24"/>
      <c r="G60" s="2"/>
      <c r="H60" s="2"/>
      <c r="I60" s="2"/>
      <c r="J60" s="5"/>
      <c r="K60" s="2"/>
      <c r="L60" s="2"/>
      <c r="M60" s="11"/>
      <c r="N60" s="11"/>
      <c r="O60" s="11"/>
      <c r="P60" s="11"/>
      <c r="Q60" s="11"/>
      <c r="R60" s="11"/>
      <c r="S60" s="11"/>
      <c r="T60" s="13"/>
    </row>
    <row r="61" spans="2:21" ht="63.75" x14ac:dyDescent="0.2">
      <c r="B61" s="93" t="s">
        <v>66</v>
      </c>
      <c r="C61" s="5" t="s">
        <v>67</v>
      </c>
      <c r="D61" s="6">
        <v>1</v>
      </c>
      <c r="E61" s="6">
        <v>1</v>
      </c>
      <c r="F61" s="82">
        <f>(E61/D61)*100</f>
        <v>100</v>
      </c>
      <c r="G61" s="2" t="s">
        <v>396</v>
      </c>
      <c r="H61" s="7"/>
      <c r="I61" s="27">
        <v>3</v>
      </c>
      <c r="J61" s="5">
        <f>(2+E61)</f>
        <v>3</v>
      </c>
      <c r="K61" s="82">
        <f>(J61/I61)*100</f>
        <v>100</v>
      </c>
      <c r="L61" s="2"/>
      <c r="M61" s="173">
        <v>1400000000</v>
      </c>
      <c r="N61" s="173">
        <v>1068299153.9</v>
      </c>
      <c r="O61" s="174">
        <f>(N61/M61)*100</f>
        <v>76.307082421428575</v>
      </c>
      <c r="P61" s="173">
        <v>4773335882.8000002</v>
      </c>
      <c r="Q61" s="173">
        <f>(2909929151.02+N61)</f>
        <v>3978228304.9200001</v>
      </c>
      <c r="R61" s="174">
        <f>(Q61/P61)*100</f>
        <v>83.342727237254536</v>
      </c>
      <c r="S61" s="5"/>
      <c r="T61" s="13"/>
    </row>
    <row r="62" spans="2:21" ht="38.25" x14ac:dyDescent="0.2">
      <c r="B62" s="93" t="s">
        <v>68</v>
      </c>
      <c r="C62" s="5" t="s">
        <v>69</v>
      </c>
      <c r="D62" s="6">
        <v>1</v>
      </c>
      <c r="E62" s="6">
        <v>1</v>
      </c>
      <c r="F62" s="82">
        <f>(E62/D62)*100</f>
        <v>100</v>
      </c>
      <c r="G62" s="2" t="s">
        <v>397</v>
      </c>
      <c r="H62" s="7"/>
      <c r="I62" s="27">
        <v>4</v>
      </c>
      <c r="J62" s="5">
        <f>(3+E62)</f>
        <v>4</v>
      </c>
      <c r="K62" s="82">
        <f>(J62/I62)*100</f>
        <v>100</v>
      </c>
      <c r="L62" s="2"/>
      <c r="M62" s="173"/>
      <c r="N62" s="173"/>
      <c r="O62" s="174"/>
      <c r="P62" s="173"/>
      <c r="Q62" s="173"/>
      <c r="R62" s="174"/>
      <c r="S62" s="5"/>
      <c r="T62" s="13"/>
    </row>
    <row r="63" spans="2:21" ht="63.75" x14ac:dyDescent="0.2">
      <c r="B63" s="93" t="s">
        <v>70</v>
      </c>
      <c r="C63" s="80" t="s">
        <v>6</v>
      </c>
      <c r="D63" s="6">
        <v>25</v>
      </c>
      <c r="E63" s="6">
        <v>0</v>
      </c>
      <c r="F63" s="82">
        <f>(E63/D63)*100</f>
        <v>0</v>
      </c>
      <c r="G63" s="2" t="s">
        <v>393</v>
      </c>
      <c r="H63" s="25"/>
      <c r="I63" s="27">
        <v>100</v>
      </c>
      <c r="J63" s="5">
        <f>(75+E63)</f>
        <v>75</v>
      </c>
      <c r="K63" s="82">
        <f t="shared" ref="K63:K71" si="8">(J63/I63)*100</f>
        <v>75</v>
      </c>
      <c r="L63" s="2"/>
      <c r="M63" s="173"/>
      <c r="N63" s="173"/>
      <c r="O63" s="174"/>
      <c r="P63" s="173"/>
      <c r="Q63" s="173"/>
      <c r="R63" s="174"/>
      <c r="S63" s="5" t="s">
        <v>325</v>
      </c>
      <c r="T63" s="13"/>
    </row>
    <row r="64" spans="2:21" ht="38.25" x14ac:dyDescent="0.2">
      <c r="B64" s="93" t="s">
        <v>71</v>
      </c>
      <c r="C64" s="80" t="s">
        <v>7</v>
      </c>
      <c r="D64" s="3">
        <v>100</v>
      </c>
      <c r="E64" s="6">
        <v>100</v>
      </c>
      <c r="F64" s="82">
        <f>(E64/D64)*100</f>
        <v>100</v>
      </c>
      <c r="G64" s="2" t="s">
        <v>394</v>
      </c>
      <c r="H64" s="23"/>
      <c r="I64" s="27">
        <v>100</v>
      </c>
      <c r="J64" s="27">
        <v>100</v>
      </c>
      <c r="K64" s="82">
        <f t="shared" si="8"/>
        <v>100</v>
      </c>
      <c r="L64" s="2"/>
      <c r="M64" s="173"/>
      <c r="N64" s="173"/>
      <c r="O64" s="174"/>
      <c r="P64" s="173"/>
      <c r="Q64" s="173"/>
      <c r="R64" s="174"/>
      <c r="S64" s="5"/>
      <c r="T64" s="13"/>
    </row>
    <row r="65" spans="2:21" ht="38.25" x14ac:dyDescent="0.2">
      <c r="B65" s="93" t="s">
        <v>72</v>
      </c>
      <c r="C65" s="7" t="s">
        <v>73</v>
      </c>
      <c r="D65" s="6">
        <v>0</v>
      </c>
      <c r="E65" s="6">
        <v>0</v>
      </c>
      <c r="F65" s="82">
        <v>0</v>
      </c>
      <c r="G65" s="23" t="s">
        <v>298</v>
      </c>
      <c r="H65" s="23" t="s">
        <v>20</v>
      </c>
      <c r="I65" s="27">
        <v>1</v>
      </c>
      <c r="J65" s="82">
        <v>1</v>
      </c>
      <c r="K65" s="82">
        <f t="shared" si="8"/>
        <v>100</v>
      </c>
      <c r="L65" s="2"/>
      <c r="M65" s="173"/>
      <c r="N65" s="173"/>
      <c r="O65" s="174"/>
      <c r="P65" s="173"/>
      <c r="Q65" s="173"/>
      <c r="R65" s="174"/>
      <c r="S65" s="5"/>
      <c r="T65" s="13"/>
    </row>
    <row r="66" spans="2:21" ht="38.25" x14ac:dyDescent="0.2">
      <c r="B66" s="93" t="s">
        <v>74</v>
      </c>
      <c r="C66" s="5" t="s">
        <v>75</v>
      </c>
      <c r="D66" s="6">
        <v>1</v>
      </c>
      <c r="E66" s="6">
        <v>0</v>
      </c>
      <c r="F66" s="82">
        <v>0</v>
      </c>
      <c r="G66" s="2" t="s">
        <v>374</v>
      </c>
      <c r="H66" s="25" t="s">
        <v>326</v>
      </c>
      <c r="I66" s="27">
        <v>1</v>
      </c>
      <c r="J66" s="82">
        <f>(0+E66)</f>
        <v>0</v>
      </c>
      <c r="K66" s="82">
        <f t="shared" si="8"/>
        <v>0</v>
      </c>
      <c r="L66" s="2"/>
      <c r="M66" s="173"/>
      <c r="N66" s="173"/>
      <c r="O66" s="174"/>
      <c r="P66" s="173"/>
      <c r="Q66" s="173"/>
      <c r="R66" s="174"/>
      <c r="S66" s="5"/>
      <c r="T66" s="13"/>
    </row>
    <row r="67" spans="2:21" ht="76.5" x14ac:dyDescent="0.2">
      <c r="B67" s="93" t="s">
        <v>76</v>
      </c>
      <c r="C67" s="5" t="s">
        <v>77</v>
      </c>
      <c r="D67" s="81">
        <v>1</v>
      </c>
      <c r="E67" s="8">
        <v>0</v>
      </c>
      <c r="F67" s="82">
        <f>(E67/D67)*100</f>
        <v>0</v>
      </c>
      <c r="G67" s="2" t="s">
        <v>374</v>
      </c>
      <c r="H67" s="25" t="s">
        <v>395</v>
      </c>
      <c r="I67" s="27">
        <v>3</v>
      </c>
      <c r="J67" s="82">
        <f>(2+E67)</f>
        <v>2</v>
      </c>
      <c r="K67" s="82">
        <f t="shared" si="8"/>
        <v>66.666666666666657</v>
      </c>
      <c r="L67" s="2"/>
      <c r="M67" s="173"/>
      <c r="N67" s="173"/>
      <c r="O67" s="174"/>
      <c r="P67" s="173"/>
      <c r="Q67" s="173"/>
      <c r="R67" s="174"/>
      <c r="S67" s="5"/>
      <c r="T67" s="134">
        <v>4773335882.8000002</v>
      </c>
      <c r="U67" s="136">
        <v>3978228304</v>
      </c>
    </row>
    <row r="68" spans="2:21" ht="140.25" x14ac:dyDescent="0.2">
      <c r="B68" s="93" t="s">
        <v>78</v>
      </c>
      <c r="C68" s="5" t="s">
        <v>79</v>
      </c>
      <c r="D68" s="8">
        <v>1</v>
      </c>
      <c r="E68" s="6">
        <v>1</v>
      </c>
      <c r="F68" s="82">
        <f>(E68/D68)*100</f>
        <v>100</v>
      </c>
      <c r="G68" s="2" t="s">
        <v>398</v>
      </c>
      <c r="H68" s="23" t="s">
        <v>327</v>
      </c>
      <c r="I68" s="27">
        <v>4</v>
      </c>
      <c r="J68" s="82">
        <v>4</v>
      </c>
      <c r="K68" s="82">
        <f t="shared" si="8"/>
        <v>100</v>
      </c>
      <c r="L68" s="2" t="s">
        <v>328</v>
      </c>
      <c r="M68" s="173"/>
      <c r="N68" s="173"/>
      <c r="O68" s="174"/>
      <c r="P68" s="173"/>
      <c r="Q68" s="173"/>
      <c r="R68" s="174"/>
      <c r="S68" s="5" t="s">
        <v>329</v>
      </c>
      <c r="T68" s="13"/>
    </row>
    <row r="69" spans="2:21" ht="38.25" x14ac:dyDescent="0.2">
      <c r="B69" s="93" t="s">
        <v>80</v>
      </c>
      <c r="C69" s="7" t="s">
        <v>81</v>
      </c>
      <c r="D69" s="6">
        <v>1</v>
      </c>
      <c r="E69" s="6">
        <v>1</v>
      </c>
      <c r="F69" s="82">
        <f>(E69/D69)*100</f>
        <v>100</v>
      </c>
      <c r="G69" s="2" t="s">
        <v>399</v>
      </c>
      <c r="H69" s="23"/>
      <c r="I69" s="27">
        <v>4</v>
      </c>
      <c r="J69" s="82">
        <f>(3+E69)</f>
        <v>4</v>
      </c>
      <c r="K69" s="82">
        <f t="shared" si="8"/>
        <v>100</v>
      </c>
      <c r="L69" s="2"/>
      <c r="M69" s="173"/>
      <c r="N69" s="173"/>
      <c r="O69" s="174"/>
      <c r="P69" s="173"/>
      <c r="Q69" s="173"/>
      <c r="R69" s="174"/>
      <c r="S69" s="5"/>
      <c r="T69" s="13"/>
    </row>
    <row r="70" spans="2:21" ht="76.5" x14ac:dyDescent="0.25">
      <c r="B70" s="93" t="s">
        <v>82</v>
      </c>
      <c r="C70" s="7" t="s">
        <v>83</v>
      </c>
      <c r="D70" s="6">
        <v>1</v>
      </c>
      <c r="E70" s="8">
        <v>1</v>
      </c>
      <c r="F70" s="82">
        <f>(E70/D70)*100</f>
        <v>100</v>
      </c>
      <c r="G70" s="2" t="s">
        <v>400</v>
      </c>
      <c r="H70" s="2"/>
      <c r="I70" s="27">
        <v>4</v>
      </c>
      <c r="J70" s="82">
        <f>(3+E70)</f>
        <v>4</v>
      </c>
      <c r="K70" s="82">
        <f t="shared" si="8"/>
        <v>100</v>
      </c>
      <c r="L70" s="2"/>
      <c r="M70" s="173"/>
      <c r="N70" s="173"/>
      <c r="O70" s="174"/>
      <c r="P70" s="173"/>
      <c r="Q70" s="173"/>
      <c r="R70" s="174"/>
      <c r="S70" s="98" t="s">
        <v>330</v>
      </c>
      <c r="T70" s="13"/>
    </row>
    <row r="71" spans="2:21" ht="25.5" x14ac:dyDescent="0.25">
      <c r="B71" s="93" t="s">
        <v>84</v>
      </c>
      <c r="C71" s="7" t="s">
        <v>85</v>
      </c>
      <c r="D71" s="6">
        <v>1</v>
      </c>
      <c r="E71" s="8">
        <v>1</v>
      </c>
      <c r="F71" s="82">
        <f>(E71/D71)*100</f>
        <v>100</v>
      </c>
      <c r="G71" s="2" t="s">
        <v>401</v>
      </c>
      <c r="H71" s="2"/>
      <c r="I71" s="27">
        <v>4</v>
      </c>
      <c r="J71" s="82">
        <f>(3+E71)</f>
        <v>4</v>
      </c>
      <c r="K71" s="82">
        <f t="shared" si="8"/>
        <v>100</v>
      </c>
      <c r="L71" s="2"/>
      <c r="M71" s="173"/>
      <c r="N71" s="173"/>
      <c r="O71" s="174"/>
      <c r="P71" s="173"/>
      <c r="Q71" s="173"/>
      <c r="R71" s="174"/>
      <c r="S71" s="98"/>
      <c r="T71" s="13"/>
    </row>
    <row r="72" spans="2:21" x14ac:dyDescent="0.2">
      <c r="B72" s="99" t="s">
        <v>295</v>
      </c>
      <c r="C72" s="100"/>
      <c r="D72" s="53">
        <v>1000</v>
      </c>
      <c r="E72" s="53"/>
      <c r="F72" s="53">
        <f>SUM(F61:F71)</f>
        <v>700</v>
      </c>
      <c r="G72" s="55">
        <f>F72/D72*100</f>
        <v>70</v>
      </c>
      <c r="H72" s="100"/>
      <c r="I72" s="61">
        <v>1100</v>
      </c>
      <c r="J72" s="61"/>
      <c r="K72" s="61">
        <f>SUM(K61:K71)</f>
        <v>941.66666666666663</v>
      </c>
      <c r="L72" s="61">
        <f>K72/I72*100</f>
        <v>85.606060606060609</v>
      </c>
      <c r="M72" s="30"/>
      <c r="N72" s="30"/>
      <c r="O72" s="30"/>
      <c r="P72" s="30"/>
      <c r="Q72" s="30"/>
      <c r="R72" s="30"/>
      <c r="S72" s="30"/>
      <c r="T72" s="13"/>
    </row>
    <row r="73" spans="2:21" x14ac:dyDescent="0.2">
      <c r="B73" s="99" t="s">
        <v>295</v>
      </c>
      <c r="C73" s="100"/>
      <c r="D73" s="101"/>
      <c r="E73" s="101"/>
      <c r="F73" s="101"/>
      <c r="G73" s="100"/>
      <c r="H73" s="100"/>
      <c r="I73" s="100"/>
      <c r="J73" s="100"/>
      <c r="K73" s="100"/>
      <c r="L73" s="100"/>
      <c r="M73" s="30"/>
      <c r="N73" s="30"/>
      <c r="O73" s="30"/>
      <c r="P73" s="30"/>
      <c r="Q73" s="30"/>
      <c r="R73" s="30"/>
      <c r="S73" s="30"/>
      <c r="T73" s="13"/>
    </row>
    <row r="74" spans="2:21" ht="38.25" x14ac:dyDescent="0.2">
      <c r="B74" s="102" t="s">
        <v>331</v>
      </c>
      <c r="C74" s="28"/>
      <c r="D74" s="29"/>
      <c r="E74" s="29"/>
      <c r="F74" s="29"/>
      <c r="G74" s="28"/>
      <c r="H74" s="28"/>
      <c r="I74" s="28"/>
      <c r="J74" s="28"/>
      <c r="K74" s="28"/>
      <c r="L74" s="28"/>
      <c r="M74" s="30"/>
      <c r="N74" s="30"/>
      <c r="O74" s="30"/>
      <c r="P74" s="30"/>
      <c r="Q74" s="30"/>
      <c r="R74" s="30"/>
      <c r="S74" s="30"/>
      <c r="T74" s="13"/>
    </row>
    <row r="75" spans="2:21" ht="48.75" customHeight="1" x14ac:dyDescent="0.2">
      <c r="B75" s="99" t="s">
        <v>332</v>
      </c>
      <c r="C75" s="28"/>
      <c r="D75" s="29"/>
      <c r="E75" s="29"/>
      <c r="F75" s="29"/>
      <c r="G75" s="28"/>
      <c r="H75" s="28"/>
      <c r="I75" s="28"/>
      <c r="J75" s="28"/>
      <c r="K75" s="28"/>
      <c r="L75" s="28"/>
      <c r="M75" s="30"/>
      <c r="N75" s="30"/>
      <c r="O75" s="30"/>
      <c r="P75" s="30"/>
      <c r="Q75" s="30"/>
      <c r="R75" s="30"/>
      <c r="S75" s="30"/>
      <c r="T75" s="13"/>
    </row>
    <row r="76" spans="2:21" ht="89.25" x14ac:dyDescent="0.2">
      <c r="B76" s="99" t="s">
        <v>86</v>
      </c>
      <c r="C76" s="5" t="s">
        <v>87</v>
      </c>
      <c r="D76" s="8">
        <v>21</v>
      </c>
      <c r="E76" s="8">
        <v>21</v>
      </c>
      <c r="F76" s="82">
        <f>(E76/D76)*100</f>
        <v>100</v>
      </c>
      <c r="G76" s="31" t="s">
        <v>402</v>
      </c>
      <c r="H76" s="31"/>
      <c r="I76" s="9">
        <v>84</v>
      </c>
      <c r="J76" s="9">
        <f>(63+E76)</f>
        <v>84</v>
      </c>
      <c r="K76" s="81">
        <f>(J76/I76)*100</f>
        <v>100</v>
      </c>
      <c r="L76" s="28"/>
      <c r="M76" s="177">
        <v>1605000000</v>
      </c>
      <c r="N76" s="177">
        <v>1600289433.0899999</v>
      </c>
      <c r="O76" s="153">
        <f>(N76/M76)*100</f>
        <v>99.706506734579435</v>
      </c>
      <c r="P76" s="177">
        <v>3454074059.9000001</v>
      </c>
      <c r="Q76" s="177">
        <f>(948351646.37+N76)</f>
        <v>2548641079.46</v>
      </c>
      <c r="R76" s="153">
        <f>(Q76/P76)*100</f>
        <v>73.786520939096093</v>
      </c>
      <c r="S76" s="30"/>
      <c r="T76" s="13"/>
    </row>
    <row r="77" spans="2:21" ht="38.25" x14ac:dyDescent="0.2">
      <c r="B77" s="99" t="s">
        <v>88</v>
      </c>
      <c r="C77" s="5" t="s">
        <v>89</v>
      </c>
      <c r="D77" s="8">
        <v>1</v>
      </c>
      <c r="E77" s="8">
        <v>1</v>
      </c>
      <c r="F77" s="82">
        <f>(E77/D77)*100</f>
        <v>100</v>
      </c>
      <c r="G77" s="31" t="s">
        <v>403</v>
      </c>
      <c r="H77" s="23"/>
      <c r="I77" s="9">
        <v>1</v>
      </c>
      <c r="J77" s="9">
        <f>(0+E77)</f>
        <v>1</v>
      </c>
      <c r="K77" s="81">
        <f>(J77/I77)*100</f>
        <v>100</v>
      </c>
      <c r="L77" s="28"/>
      <c r="M77" s="177"/>
      <c r="N77" s="177"/>
      <c r="O77" s="153"/>
      <c r="P77" s="177"/>
      <c r="Q77" s="177"/>
      <c r="R77" s="153"/>
      <c r="S77" s="30"/>
      <c r="T77" s="13"/>
    </row>
    <row r="78" spans="2:21" ht="76.5" x14ac:dyDescent="0.2">
      <c r="B78" s="99" t="s">
        <v>90</v>
      </c>
      <c r="C78" s="5" t="s">
        <v>91</v>
      </c>
      <c r="D78" s="81">
        <v>1</v>
      </c>
      <c r="E78" s="81">
        <v>1</v>
      </c>
      <c r="F78" s="82">
        <f t="shared" ref="F78:F83" si="9">(E78/D78)*100</f>
        <v>100</v>
      </c>
      <c r="G78" s="31" t="s">
        <v>404</v>
      </c>
      <c r="H78" s="23"/>
      <c r="I78" s="5">
        <v>3</v>
      </c>
      <c r="J78" s="9">
        <f>(2+E78)</f>
        <v>3</v>
      </c>
      <c r="K78" s="81">
        <f t="shared" ref="K78:K83" si="10">(J78/I78)*100</f>
        <v>100</v>
      </c>
      <c r="L78" s="28"/>
      <c r="M78" s="177"/>
      <c r="N78" s="177"/>
      <c r="O78" s="153"/>
      <c r="P78" s="177"/>
      <c r="Q78" s="177"/>
      <c r="R78" s="153"/>
      <c r="S78" s="30"/>
      <c r="T78" s="13"/>
    </row>
    <row r="79" spans="2:21" ht="76.5" x14ac:dyDescent="0.2">
      <c r="B79" s="99" t="s">
        <v>92</v>
      </c>
      <c r="C79" s="5" t="s">
        <v>93</v>
      </c>
      <c r="D79" s="81">
        <v>1</v>
      </c>
      <c r="E79" s="81">
        <v>1</v>
      </c>
      <c r="F79" s="82">
        <f t="shared" si="9"/>
        <v>100</v>
      </c>
      <c r="G79" s="31" t="s">
        <v>405</v>
      </c>
      <c r="H79" s="23"/>
      <c r="I79" s="5">
        <v>4</v>
      </c>
      <c r="J79" s="9">
        <f>(3+E79)</f>
        <v>4</v>
      </c>
      <c r="K79" s="81">
        <f t="shared" si="10"/>
        <v>100</v>
      </c>
      <c r="L79" s="28"/>
      <c r="M79" s="177"/>
      <c r="N79" s="177"/>
      <c r="O79" s="153"/>
      <c r="P79" s="177"/>
      <c r="Q79" s="177"/>
      <c r="R79" s="153"/>
      <c r="S79" s="30"/>
      <c r="T79" s="134">
        <v>3454074059.9000001</v>
      </c>
      <c r="U79" s="136">
        <v>2548641079</v>
      </c>
    </row>
    <row r="80" spans="2:21" ht="76.5" x14ac:dyDescent="0.2">
      <c r="B80" s="99" t="s">
        <v>94</v>
      </c>
      <c r="C80" s="5" t="s">
        <v>95</v>
      </c>
      <c r="D80" s="81">
        <v>4</v>
      </c>
      <c r="E80" s="8">
        <v>4</v>
      </c>
      <c r="F80" s="82">
        <f t="shared" si="9"/>
        <v>100</v>
      </c>
      <c r="G80" s="31" t="s">
        <v>406</v>
      </c>
      <c r="H80" s="31"/>
      <c r="I80" s="5">
        <v>21</v>
      </c>
      <c r="J80" s="9">
        <f>(17+E80)</f>
        <v>21</v>
      </c>
      <c r="K80" s="81">
        <f t="shared" si="10"/>
        <v>100</v>
      </c>
      <c r="L80" s="28"/>
      <c r="M80" s="177"/>
      <c r="N80" s="177"/>
      <c r="O80" s="153"/>
      <c r="P80" s="177"/>
      <c r="Q80" s="177"/>
      <c r="R80" s="153"/>
      <c r="S80" s="30"/>
      <c r="T80" s="13"/>
    </row>
    <row r="81" spans="2:21" ht="51" x14ac:dyDescent="0.2">
      <c r="B81" s="99" t="s">
        <v>96</v>
      </c>
      <c r="C81" s="5" t="s">
        <v>97</v>
      </c>
      <c r="D81" s="81">
        <v>1</v>
      </c>
      <c r="E81" s="8">
        <v>4</v>
      </c>
      <c r="F81" s="82">
        <v>100</v>
      </c>
      <c r="G81" s="31" t="s">
        <v>403</v>
      </c>
      <c r="H81" s="31"/>
      <c r="I81" s="5">
        <v>4</v>
      </c>
      <c r="J81" s="9">
        <f>(3+E81)</f>
        <v>7</v>
      </c>
      <c r="K81" s="81">
        <v>100</v>
      </c>
      <c r="L81" s="28"/>
      <c r="M81" s="177"/>
      <c r="N81" s="177"/>
      <c r="O81" s="153"/>
      <c r="P81" s="177"/>
      <c r="Q81" s="177"/>
      <c r="R81" s="153"/>
      <c r="S81" s="30"/>
      <c r="T81" s="13"/>
    </row>
    <row r="82" spans="2:21" ht="51" x14ac:dyDescent="0.2">
      <c r="B82" s="99" t="s">
        <v>98</v>
      </c>
      <c r="C82" s="80" t="s">
        <v>8</v>
      </c>
      <c r="D82" s="81">
        <v>100</v>
      </c>
      <c r="E82" s="8">
        <v>100</v>
      </c>
      <c r="F82" s="82">
        <f t="shared" si="9"/>
        <v>100</v>
      </c>
      <c r="G82" s="31" t="s">
        <v>407</v>
      </c>
      <c r="H82" s="31"/>
      <c r="I82" s="5">
        <v>100</v>
      </c>
      <c r="J82" s="5">
        <v>100</v>
      </c>
      <c r="K82" s="81">
        <f t="shared" si="10"/>
        <v>100</v>
      </c>
      <c r="L82" s="28"/>
      <c r="M82" s="177"/>
      <c r="N82" s="177"/>
      <c r="O82" s="153"/>
      <c r="P82" s="177"/>
      <c r="Q82" s="177"/>
      <c r="R82" s="153"/>
      <c r="S82" s="30"/>
      <c r="T82" s="13"/>
    </row>
    <row r="83" spans="2:21" ht="63.75" x14ac:dyDescent="0.2">
      <c r="B83" s="99" t="s">
        <v>99</v>
      </c>
      <c r="C83" s="80" t="s">
        <v>9</v>
      </c>
      <c r="D83" s="81">
        <v>100</v>
      </c>
      <c r="E83" s="8">
        <v>100</v>
      </c>
      <c r="F83" s="82">
        <f t="shared" si="9"/>
        <v>100</v>
      </c>
      <c r="G83" s="31" t="s">
        <v>407</v>
      </c>
      <c r="H83" s="31"/>
      <c r="I83" s="5">
        <v>100</v>
      </c>
      <c r="J83" s="5">
        <v>100</v>
      </c>
      <c r="K83" s="81">
        <f t="shared" si="10"/>
        <v>100</v>
      </c>
      <c r="L83" s="28"/>
      <c r="M83" s="177"/>
      <c r="N83" s="177"/>
      <c r="O83" s="153"/>
      <c r="P83" s="177"/>
      <c r="Q83" s="177"/>
      <c r="R83" s="153"/>
      <c r="S83" s="30"/>
      <c r="T83" s="13"/>
    </row>
    <row r="84" spans="2:21" x14ac:dyDescent="0.2">
      <c r="B84" s="99" t="s">
        <v>295</v>
      </c>
      <c r="C84" s="28"/>
      <c r="D84" s="58">
        <v>800</v>
      </c>
      <c r="E84" s="58"/>
      <c r="F84" s="58">
        <f>SUM(F76:F83)</f>
        <v>800</v>
      </c>
      <c r="G84" s="59">
        <f>F84/D84*100</f>
        <v>100</v>
      </c>
      <c r="H84" s="28"/>
      <c r="I84" s="64">
        <v>800</v>
      </c>
      <c r="J84" s="65"/>
      <c r="K84" s="64">
        <f>SUM(K76:K83)</f>
        <v>800</v>
      </c>
      <c r="L84" s="64">
        <v>100</v>
      </c>
      <c r="M84" s="30"/>
      <c r="N84" s="30"/>
      <c r="O84" s="30"/>
      <c r="P84" s="30"/>
      <c r="Q84" s="30"/>
      <c r="R84" s="30"/>
      <c r="S84" s="30"/>
      <c r="T84" s="13"/>
    </row>
    <row r="85" spans="2:21" ht="38.25" x14ac:dyDescent="0.2">
      <c r="B85" s="99" t="s">
        <v>333</v>
      </c>
      <c r="C85" s="28"/>
      <c r="D85" s="29"/>
      <c r="E85" s="29"/>
      <c r="F85" s="29"/>
      <c r="G85" s="28"/>
      <c r="H85" s="28"/>
      <c r="I85" s="28"/>
      <c r="J85" s="9"/>
      <c r="K85" s="28"/>
      <c r="L85" s="28"/>
      <c r="M85" s="30"/>
      <c r="N85" s="30"/>
      <c r="O85" s="30"/>
      <c r="P85" s="30"/>
      <c r="Q85" s="30"/>
      <c r="R85" s="30"/>
      <c r="S85" s="30"/>
      <c r="T85" s="13"/>
    </row>
    <row r="86" spans="2:21" ht="127.5" x14ac:dyDescent="0.2">
      <c r="B86" s="99" t="s">
        <v>100</v>
      </c>
      <c r="C86" s="23" t="s">
        <v>101</v>
      </c>
      <c r="D86" s="6">
        <v>7</v>
      </c>
      <c r="E86" s="82">
        <v>7</v>
      </c>
      <c r="F86" s="82">
        <f>(E86/D86)*100</f>
        <v>100</v>
      </c>
      <c r="G86" s="31" t="s">
        <v>408</v>
      </c>
      <c r="H86" s="32"/>
      <c r="I86" s="83">
        <v>28</v>
      </c>
      <c r="J86" s="9">
        <f>(21+E86)</f>
        <v>28</v>
      </c>
      <c r="K86" s="81">
        <f>(J86/I86)*100</f>
        <v>100</v>
      </c>
      <c r="L86" s="28"/>
      <c r="M86" s="177">
        <v>900000000</v>
      </c>
      <c r="N86" s="177">
        <v>640429841.29999995</v>
      </c>
      <c r="O86" s="177">
        <f>(N86/M86)*100</f>
        <v>71.158871255555539</v>
      </c>
      <c r="P86" s="177">
        <v>2744452950.0999999</v>
      </c>
      <c r="Q86" s="177">
        <f>(N86+1461168908.03)</f>
        <v>2101598749.3299999</v>
      </c>
      <c r="R86" s="177">
        <f>(Q86/P86)*100</f>
        <v>76.576235320537151</v>
      </c>
      <c r="S86" s="103"/>
      <c r="T86" s="13"/>
    </row>
    <row r="87" spans="2:21" ht="89.25" x14ac:dyDescent="0.2">
      <c r="B87" s="99" t="s">
        <v>102</v>
      </c>
      <c r="C87" s="23" t="s">
        <v>103</v>
      </c>
      <c r="D87" s="6">
        <v>1</v>
      </c>
      <c r="E87" s="82">
        <v>1</v>
      </c>
      <c r="F87" s="82">
        <f t="shared" ref="F87:F96" si="11">(E87/D87)*100</f>
        <v>100</v>
      </c>
      <c r="G87" s="31" t="s">
        <v>409</v>
      </c>
      <c r="H87" s="32"/>
      <c r="I87" s="83">
        <v>5</v>
      </c>
      <c r="J87" s="9">
        <f>(3+E87)</f>
        <v>4</v>
      </c>
      <c r="K87" s="81">
        <f>(J87/I87)*100</f>
        <v>80</v>
      </c>
      <c r="L87" s="28"/>
      <c r="M87" s="177"/>
      <c r="N87" s="177"/>
      <c r="O87" s="177"/>
      <c r="P87" s="177"/>
      <c r="Q87" s="177"/>
      <c r="R87" s="177"/>
      <c r="S87" s="104"/>
      <c r="T87" s="13"/>
    </row>
    <row r="88" spans="2:21" ht="89.25" x14ac:dyDescent="0.2">
      <c r="B88" s="99" t="s">
        <v>104</v>
      </c>
      <c r="C88" s="23" t="s">
        <v>105</v>
      </c>
      <c r="D88" s="8">
        <v>0</v>
      </c>
      <c r="E88" s="82">
        <v>0</v>
      </c>
      <c r="F88" s="82">
        <v>0</v>
      </c>
      <c r="G88" s="32" t="s">
        <v>298</v>
      </c>
      <c r="H88" s="32" t="s">
        <v>20</v>
      </c>
      <c r="I88" s="83">
        <v>4</v>
      </c>
      <c r="J88" s="81">
        <v>6</v>
      </c>
      <c r="K88" s="81">
        <v>100</v>
      </c>
      <c r="L88" s="28"/>
      <c r="M88" s="177"/>
      <c r="N88" s="177"/>
      <c r="O88" s="177"/>
      <c r="P88" s="177"/>
      <c r="Q88" s="177"/>
      <c r="R88" s="177"/>
      <c r="S88" s="104"/>
      <c r="T88" s="13"/>
    </row>
    <row r="89" spans="2:21" ht="51" x14ac:dyDescent="0.2">
      <c r="B89" s="99" t="s">
        <v>106</v>
      </c>
      <c r="C89" s="25" t="s">
        <v>10</v>
      </c>
      <c r="D89" s="6">
        <v>100</v>
      </c>
      <c r="E89" s="82">
        <v>100</v>
      </c>
      <c r="F89" s="82">
        <f t="shared" si="11"/>
        <v>100</v>
      </c>
      <c r="G89" s="31" t="s">
        <v>409</v>
      </c>
      <c r="H89" s="32"/>
      <c r="I89" s="80">
        <v>100</v>
      </c>
      <c r="J89" s="81">
        <f>(0+E89)</f>
        <v>100</v>
      </c>
      <c r="K89" s="81">
        <f t="shared" ref="K89:K98" si="12">(J89/I89)*100</f>
        <v>100</v>
      </c>
      <c r="L89" s="28"/>
      <c r="M89" s="177"/>
      <c r="N89" s="177"/>
      <c r="O89" s="177"/>
      <c r="P89" s="177"/>
      <c r="Q89" s="177"/>
      <c r="R89" s="177"/>
      <c r="S89" s="104"/>
      <c r="T89" s="13"/>
    </row>
    <row r="90" spans="2:21" ht="63.75" x14ac:dyDescent="0.2">
      <c r="B90" s="99" t="s">
        <v>107</v>
      </c>
      <c r="C90" s="25" t="s">
        <v>11</v>
      </c>
      <c r="D90" s="6">
        <v>33.33</v>
      </c>
      <c r="E90" s="6">
        <v>33.33</v>
      </c>
      <c r="F90" s="82">
        <f t="shared" si="11"/>
        <v>100</v>
      </c>
      <c r="G90" s="31" t="s">
        <v>411</v>
      </c>
      <c r="H90" s="31"/>
      <c r="I90" s="83">
        <v>100</v>
      </c>
      <c r="J90" s="81">
        <f>66.67+E90</f>
        <v>100</v>
      </c>
      <c r="K90" s="81">
        <f t="shared" si="12"/>
        <v>100</v>
      </c>
      <c r="L90" s="28"/>
      <c r="M90" s="177"/>
      <c r="N90" s="177"/>
      <c r="O90" s="177"/>
      <c r="P90" s="177"/>
      <c r="Q90" s="177"/>
      <c r="R90" s="177"/>
      <c r="S90" s="104"/>
      <c r="T90" s="13"/>
    </row>
    <row r="91" spans="2:21" ht="114.75" x14ac:dyDescent="0.2">
      <c r="B91" s="99" t="s">
        <v>108</v>
      </c>
      <c r="C91" s="25" t="s">
        <v>12</v>
      </c>
      <c r="D91" s="6">
        <v>1</v>
      </c>
      <c r="E91" s="82">
        <v>1</v>
      </c>
      <c r="F91" s="82">
        <f t="shared" si="11"/>
        <v>100</v>
      </c>
      <c r="G91" s="31" t="s">
        <v>412</v>
      </c>
      <c r="H91" s="31"/>
      <c r="I91" s="83">
        <v>1</v>
      </c>
      <c r="J91" s="81">
        <v>1</v>
      </c>
      <c r="K91" s="81">
        <f t="shared" si="12"/>
        <v>100</v>
      </c>
      <c r="L91" s="28"/>
      <c r="M91" s="177"/>
      <c r="N91" s="177"/>
      <c r="O91" s="177"/>
      <c r="P91" s="177"/>
      <c r="Q91" s="177"/>
      <c r="R91" s="177"/>
      <c r="S91" s="104"/>
      <c r="T91" s="134">
        <v>2744452950.0999999</v>
      </c>
      <c r="U91" s="136">
        <v>2101598749.3299999</v>
      </c>
    </row>
    <row r="92" spans="2:21" ht="63.75" x14ac:dyDescent="0.2">
      <c r="B92" s="99" t="s">
        <v>109</v>
      </c>
      <c r="C92" s="23" t="s">
        <v>110</v>
      </c>
      <c r="D92" s="6">
        <v>1</v>
      </c>
      <c r="E92" s="6">
        <v>1</v>
      </c>
      <c r="F92" s="82">
        <f t="shared" si="11"/>
        <v>100</v>
      </c>
      <c r="G92" s="31" t="s">
        <v>413</v>
      </c>
      <c r="H92" s="31"/>
      <c r="I92" s="83">
        <v>4</v>
      </c>
      <c r="J92" s="81">
        <f>(3+E92)</f>
        <v>4</v>
      </c>
      <c r="K92" s="81">
        <f t="shared" si="12"/>
        <v>100</v>
      </c>
      <c r="L92" s="28"/>
      <c r="M92" s="177"/>
      <c r="N92" s="177"/>
      <c r="O92" s="177"/>
      <c r="P92" s="177"/>
      <c r="Q92" s="177"/>
      <c r="R92" s="177"/>
      <c r="S92" s="104"/>
      <c r="T92" s="13"/>
    </row>
    <row r="93" spans="2:21" ht="76.5" x14ac:dyDescent="0.2">
      <c r="B93" s="99" t="s">
        <v>111</v>
      </c>
      <c r="C93" s="25" t="s">
        <v>112</v>
      </c>
      <c r="D93" s="6">
        <v>21</v>
      </c>
      <c r="E93" s="60">
        <v>0</v>
      </c>
      <c r="F93" s="82">
        <f t="shared" si="11"/>
        <v>0</v>
      </c>
      <c r="G93" s="31" t="s">
        <v>415</v>
      </c>
      <c r="H93" s="31"/>
      <c r="I93" s="83">
        <v>21</v>
      </c>
      <c r="J93" s="81">
        <f>(21+E93)</f>
        <v>21</v>
      </c>
      <c r="K93" s="81">
        <f t="shared" si="12"/>
        <v>100</v>
      </c>
      <c r="L93" s="28"/>
      <c r="M93" s="177"/>
      <c r="N93" s="177"/>
      <c r="O93" s="177"/>
      <c r="P93" s="177"/>
      <c r="Q93" s="177"/>
      <c r="R93" s="177"/>
      <c r="S93" s="104"/>
      <c r="T93" s="13"/>
    </row>
    <row r="94" spans="2:21" ht="51" x14ac:dyDescent="0.2">
      <c r="B94" s="99" t="s">
        <v>113</v>
      </c>
      <c r="C94" s="25" t="s">
        <v>114</v>
      </c>
      <c r="D94" s="6">
        <v>1</v>
      </c>
      <c r="E94" s="82">
        <v>1</v>
      </c>
      <c r="F94" s="82">
        <f t="shared" si="11"/>
        <v>100</v>
      </c>
      <c r="G94" s="87" t="s">
        <v>414</v>
      </c>
      <c r="H94" s="31" t="s">
        <v>360</v>
      </c>
      <c r="I94" s="83">
        <v>4</v>
      </c>
      <c r="J94" s="81">
        <f>(3+E94)</f>
        <v>4</v>
      </c>
      <c r="K94" s="81">
        <f t="shared" si="12"/>
        <v>100</v>
      </c>
      <c r="L94" s="28"/>
      <c r="M94" s="177"/>
      <c r="N94" s="177"/>
      <c r="O94" s="177"/>
      <c r="P94" s="177"/>
      <c r="Q94" s="177"/>
      <c r="R94" s="177"/>
      <c r="S94" s="104"/>
      <c r="T94" s="13"/>
    </row>
    <row r="95" spans="2:21" ht="51" x14ac:dyDescent="0.2">
      <c r="B95" s="99" t="s">
        <v>115</v>
      </c>
      <c r="C95" s="23" t="s">
        <v>116</v>
      </c>
      <c r="D95" s="6">
        <v>50</v>
      </c>
      <c r="E95" s="82">
        <v>50</v>
      </c>
      <c r="F95" s="82">
        <f t="shared" si="11"/>
        <v>100</v>
      </c>
      <c r="G95" s="31" t="s">
        <v>416</v>
      </c>
      <c r="H95" s="31"/>
      <c r="I95" s="83">
        <v>200</v>
      </c>
      <c r="J95" s="81">
        <f>(150+E95)</f>
        <v>200</v>
      </c>
      <c r="K95" s="81">
        <f t="shared" si="12"/>
        <v>100</v>
      </c>
      <c r="L95" s="28"/>
      <c r="M95" s="177"/>
      <c r="N95" s="177"/>
      <c r="O95" s="177"/>
      <c r="P95" s="177"/>
      <c r="Q95" s="177"/>
      <c r="R95" s="177"/>
      <c r="S95" s="104"/>
      <c r="T95" s="13"/>
    </row>
    <row r="96" spans="2:21" ht="51" x14ac:dyDescent="0.2">
      <c r="B96" s="99" t="s">
        <v>117</v>
      </c>
      <c r="C96" s="23" t="s">
        <v>118</v>
      </c>
      <c r="D96" s="6">
        <v>100</v>
      </c>
      <c r="E96" s="6">
        <v>100</v>
      </c>
      <c r="F96" s="82">
        <f t="shared" si="11"/>
        <v>100</v>
      </c>
      <c r="G96" s="31" t="s">
        <v>417</v>
      </c>
      <c r="H96" s="31" t="s">
        <v>334</v>
      </c>
      <c r="I96" s="83">
        <v>300</v>
      </c>
      <c r="J96" s="81">
        <f>(200+E96)</f>
        <v>300</v>
      </c>
      <c r="K96" s="81">
        <f t="shared" si="12"/>
        <v>100</v>
      </c>
      <c r="L96" s="28"/>
      <c r="M96" s="177"/>
      <c r="N96" s="177"/>
      <c r="O96" s="177"/>
      <c r="P96" s="177"/>
      <c r="Q96" s="177"/>
      <c r="R96" s="177"/>
      <c r="S96" s="104"/>
      <c r="T96" s="13"/>
    </row>
    <row r="97" spans="2:21" ht="51" x14ac:dyDescent="0.2">
      <c r="B97" s="99" t="s">
        <v>119</v>
      </c>
      <c r="C97" s="25" t="s">
        <v>120</v>
      </c>
      <c r="D97" s="6">
        <v>20</v>
      </c>
      <c r="E97" s="6">
        <v>0</v>
      </c>
      <c r="F97" s="82">
        <v>0</v>
      </c>
      <c r="G97" s="87" t="s">
        <v>418</v>
      </c>
      <c r="H97" s="31"/>
      <c r="I97" s="80">
        <v>20</v>
      </c>
      <c r="J97" s="81">
        <f>(0+E97)</f>
        <v>0</v>
      </c>
      <c r="K97" s="81">
        <f t="shared" si="12"/>
        <v>0</v>
      </c>
      <c r="L97" s="28"/>
      <c r="M97" s="177"/>
      <c r="N97" s="177"/>
      <c r="O97" s="177"/>
      <c r="P97" s="177"/>
      <c r="Q97" s="177"/>
      <c r="R97" s="177"/>
      <c r="S97" s="103"/>
      <c r="T97" s="13"/>
    </row>
    <row r="98" spans="2:21" ht="51" x14ac:dyDescent="0.2">
      <c r="B98" s="99" t="s">
        <v>121</v>
      </c>
      <c r="C98" s="23" t="s">
        <v>122</v>
      </c>
      <c r="D98" s="8">
        <v>0</v>
      </c>
      <c r="E98" s="82">
        <v>0</v>
      </c>
      <c r="F98" s="82">
        <v>0</v>
      </c>
      <c r="G98" s="31" t="s">
        <v>298</v>
      </c>
      <c r="H98" s="31" t="s">
        <v>20</v>
      </c>
      <c r="I98" s="83">
        <v>1</v>
      </c>
      <c r="J98" s="81">
        <v>1</v>
      </c>
      <c r="K98" s="81">
        <f t="shared" si="12"/>
        <v>100</v>
      </c>
      <c r="L98" s="28"/>
      <c r="M98" s="177"/>
      <c r="N98" s="177"/>
      <c r="O98" s="177"/>
      <c r="P98" s="177"/>
      <c r="Q98" s="177"/>
      <c r="R98" s="177"/>
      <c r="S98" s="104"/>
      <c r="T98" s="13"/>
    </row>
    <row r="99" spans="2:21" x14ac:dyDescent="0.2">
      <c r="B99" s="99" t="s">
        <v>295</v>
      </c>
      <c r="C99" s="28"/>
      <c r="D99" s="58">
        <v>1100</v>
      </c>
      <c r="E99" s="58"/>
      <c r="F99" s="58">
        <f>SUM(F86:F98)</f>
        <v>900</v>
      </c>
      <c r="G99" s="59">
        <f>F99/D99*100</f>
        <v>81.818181818181827</v>
      </c>
      <c r="H99" s="28"/>
      <c r="I99" s="64">
        <v>1300</v>
      </c>
      <c r="J99" s="64"/>
      <c r="K99" s="64">
        <f>SUM(K86:K98)</f>
        <v>1180</v>
      </c>
      <c r="L99" s="64">
        <f>K99/I99*100</f>
        <v>90.769230769230774</v>
      </c>
      <c r="M99" s="30"/>
      <c r="N99" s="30"/>
      <c r="O99" s="30"/>
      <c r="P99" s="30"/>
      <c r="Q99" s="30"/>
      <c r="R99" s="30"/>
      <c r="S99" s="30"/>
      <c r="T99" s="13"/>
    </row>
    <row r="100" spans="2:21" x14ac:dyDescent="0.2">
      <c r="B100" s="99" t="s">
        <v>295</v>
      </c>
      <c r="C100" s="28"/>
      <c r="D100" s="29"/>
      <c r="E100" s="29"/>
      <c r="F100" s="29"/>
      <c r="G100" s="28"/>
      <c r="H100" s="28"/>
      <c r="I100" s="28"/>
      <c r="J100" s="28"/>
      <c r="K100" s="28"/>
      <c r="L100" s="28"/>
      <c r="M100" s="30"/>
      <c r="N100" s="30"/>
      <c r="O100" s="30"/>
      <c r="P100" s="30"/>
      <c r="Q100" s="30"/>
      <c r="R100" s="30"/>
      <c r="S100" s="30"/>
      <c r="T100" s="13"/>
    </row>
    <row r="101" spans="2:21" x14ac:dyDescent="0.2">
      <c r="B101" s="99"/>
      <c r="C101" s="28"/>
      <c r="D101" s="29"/>
      <c r="E101" s="29"/>
      <c r="F101" s="29"/>
      <c r="G101" s="28"/>
      <c r="H101" s="28"/>
      <c r="I101" s="28"/>
      <c r="J101" s="28"/>
      <c r="K101" s="28"/>
      <c r="L101" s="28"/>
      <c r="M101" s="30"/>
      <c r="N101" s="30"/>
      <c r="O101" s="30"/>
      <c r="P101" s="30"/>
      <c r="Q101" s="30"/>
      <c r="R101" s="30"/>
      <c r="S101" s="30"/>
      <c r="T101" s="13"/>
    </row>
    <row r="102" spans="2:21" ht="25.5" x14ac:dyDescent="0.2">
      <c r="B102" s="102" t="s">
        <v>335</v>
      </c>
      <c r="C102" s="28"/>
      <c r="D102" s="29"/>
      <c r="E102" s="29"/>
      <c r="F102" s="29"/>
      <c r="G102" s="28"/>
      <c r="H102" s="28"/>
      <c r="I102" s="28"/>
      <c r="J102" s="28"/>
      <c r="K102" s="28"/>
      <c r="L102" s="28"/>
      <c r="M102" s="30"/>
      <c r="N102" s="30"/>
      <c r="O102" s="30"/>
      <c r="P102" s="30"/>
      <c r="Q102" s="30"/>
      <c r="R102" s="30"/>
      <c r="S102" s="30"/>
      <c r="T102" s="13"/>
    </row>
    <row r="103" spans="2:21" ht="68.25" customHeight="1" x14ac:dyDescent="0.2">
      <c r="B103" s="99" t="s">
        <v>336</v>
      </c>
      <c r="C103" s="28"/>
      <c r="D103" s="29"/>
      <c r="E103" s="29"/>
      <c r="F103" s="29"/>
      <c r="G103" s="28"/>
      <c r="H103" s="28"/>
      <c r="I103" s="28"/>
      <c r="J103" s="28"/>
      <c r="K103" s="28"/>
      <c r="L103" s="28"/>
      <c r="M103" s="30"/>
      <c r="N103" s="30"/>
      <c r="O103" s="30"/>
      <c r="P103" s="30"/>
      <c r="Q103" s="30"/>
      <c r="R103" s="30"/>
      <c r="S103" s="30"/>
      <c r="T103" s="13"/>
    </row>
    <row r="104" spans="2:21" ht="102" x14ac:dyDescent="0.2">
      <c r="B104" s="99" t="s">
        <v>123</v>
      </c>
      <c r="C104" s="23" t="s">
        <v>124</v>
      </c>
      <c r="D104" s="3">
        <v>5</v>
      </c>
      <c r="E104" s="3">
        <v>5</v>
      </c>
      <c r="F104" s="81">
        <f>(E104/D104)*100</f>
        <v>100</v>
      </c>
      <c r="G104" s="28" t="s">
        <v>419</v>
      </c>
      <c r="H104" s="25"/>
      <c r="I104" s="5">
        <v>21</v>
      </c>
      <c r="J104" s="3">
        <f>(16+E104)</f>
        <v>21</v>
      </c>
      <c r="K104" s="5">
        <f>(J104/I104)*100</f>
        <v>100</v>
      </c>
      <c r="L104" s="28"/>
      <c r="M104" s="173">
        <v>7150000000</v>
      </c>
      <c r="N104" s="173">
        <v>6907233888.0900002</v>
      </c>
      <c r="O104" s="173">
        <f>(N104/M104)*100</f>
        <v>96.604669763496503</v>
      </c>
      <c r="P104" s="173">
        <v>10842731684</v>
      </c>
      <c r="Q104" s="173">
        <f>(N104+2799488885.75)</f>
        <v>9706722773.8400002</v>
      </c>
      <c r="R104" s="176">
        <f>(Q104/P104)</f>
        <v>0.89522853250750978</v>
      </c>
      <c r="S104" s="5"/>
      <c r="T104" s="33"/>
    </row>
    <row r="105" spans="2:21" ht="76.5" x14ac:dyDescent="0.2">
      <c r="B105" s="99" t="s">
        <v>125</v>
      </c>
      <c r="C105" s="25" t="s">
        <v>13</v>
      </c>
      <c r="D105" s="81">
        <v>100</v>
      </c>
      <c r="E105" s="81">
        <v>100</v>
      </c>
      <c r="F105" s="81">
        <f>(E105/D105)*100</f>
        <v>100</v>
      </c>
      <c r="G105" s="28" t="s">
        <v>420</v>
      </c>
      <c r="H105" s="23"/>
      <c r="I105" s="4">
        <v>100</v>
      </c>
      <c r="J105" s="3">
        <v>100</v>
      </c>
      <c r="K105" s="5">
        <f t="shared" ref="K105:K123" si="13">(J105/I105)*100</f>
        <v>100</v>
      </c>
      <c r="L105" s="28"/>
      <c r="M105" s="173"/>
      <c r="N105" s="173"/>
      <c r="O105" s="173"/>
      <c r="P105" s="173"/>
      <c r="Q105" s="173"/>
      <c r="R105" s="176"/>
      <c r="S105" s="5"/>
      <c r="T105" s="33"/>
    </row>
    <row r="106" spans="2:21" ht="102" x14ac:dyDescent="0.2">
      <c r="B106" s="99" t="s">
        <v>126</v>
      </c>
      <c r="C106" s="23" t="s">
        <v>14</v>
      </c>
      <c r="D106" s="81">
        <v>100</v>
      </c>
      <c r="E106" s="81">
        <v>100</v>
      </c>
      <c r="F106" s="81">
        <f>(E106/D106)*100</f>
        <v>100</v>
      </c>
      <c r="G106" s="25" t="s">
        <v>419</v>
      </c>
      <c r="H106" s="25"/>
      <c r="I106" s="5">
        <v>100</v>
      </c>
      <c r="J106" s="3">
        <v>100</v>
      </c>
      <c r="K106" s="5">
        <f t="shared" si="13"/>
        <v>100</v>
      </c>
      <c r="L106" s="28"/>
      <c r="M106" s="173"/>
      <c r="N106" s="173"/>
      <c r="O106" s="173"/>
      <c r="P106" s="173"/>
      <c r="Q106" s="173"/>
      <c r="R106" s="176"/>
      <c r="S106" s="5"/>
      <c r="T106" s="33"/>
    </row>
    <row r="107" spans="2:21" ht="51" x14ac:dyDescent="0.2">
      <c r="B107" s="99" t="s">
        <v>127</v>
      </c>
      <c r="C107" s="25" t="s">
        <v>30</v>
      </c>
      <c r="D107" s="81">
        <v>1</v>
      </c>
      <c r="E107" s="3">
        <v>1</v>
      </c>
      <c r="F107" s="81">
        <f>(E107/D107)*100</f>
        <v>100</v>
      </c>
      <c r="G107" s="25" t="s">
        <v>421</v>
      </c>
      <c r="H107" s="25"/>
      <c r="I107" s="4">
        <v>1</v>
      </c>
      <c r="J107" s="3">
        <f>(0+E107)</f>
        <v>1</v>
      </c>
      <c r="K107" s="5">
        <f t="shared" si="13"/>
        <v>100</v>
      </c>
      <c r="L107" s="28"/>
      <c r="M107" s="173"/>
      <c r="N107" s="173"/>
      <c r="O107" s="173"/>
      <c r="P107" s="173"/>
      <c r="Q107" s="173"/>
      <c r="R107" s="176"/>
      <c r="S107" s="5"/>
      <c r="T107" s="33"/>
    </row>
    <row r="108" spans="2:21" ht="63.75" x14ac:dyDescent="0.2">
      <c r="B108" s="99" t="s">
        <v>128</v>
      </c>
      <c r="C108" s="23" t="s">
        <v>15</v>
      </c>
      <c r="D108" s="81">
        <v>0</v>
      </c>
      <c r="E108" s="3">
        <v>0</v>
      </c>
      <c r="F108" s="81">
        <v>0</v>
      </c>
      <c r="G108" s="23" t="s">
        <v>298</v>
      </c>
      <c r="H108" s="23" t="s">
        <v>20</v>
      </c>
      <c r="I108" s="4">
        <v>2</v>
      </c>
      <c r="J108" s="3">
        <f>(2+E108)</f>
        <v>2</v>
      </c>
      <c r="K108" s="5">
        <f t="shared" si="13"/>
        <v>100</v>
      </c>
      <c r="L108" s="28"/>
      <c r="M108" s="173"/>
      <c r="N108" s="173"/>
      <c r="O108" s="173"/>
      <c r="P108" s="173"/>
      <c r="Q108" s="173"/>
      <c r="R108" s="176"/>
      <c r="S108" s="5"/>
      <c r="T108" s="33"/>
    </row>
    <row r="109" spans="2:21" ht="63.75" x14ac:dyDescent="0.2">
      <c r="B109" s="99" t="s">
        <v>129</v>
      </c>
      <c r="C109" s="23" t="s">
        <v>15</v>
      </c>
      <c r="D109" s="81">
        <v>0</v>
      </c>
      <c r="E109" s="3">
        <v>0</v>
      </c>
      <c r="F109" s="81">
        <v>0</v>
      </c>
      <c r="G109" s="23" t="s">
        <v>298</v>
      </c>
      <c r="H109" s="23" t="s">
        <v>20</v>
      </c>
      <c r="I109" s="4">
        <v>1</v>
      </c>
      <c r="J109" s="3">
        <f>(1+E109)</f>
        <v>1</v>
      </c>
      <c r="K109" s="5">
        <f t="shared" si="13"/>
        <v>100</v>
      </c>
      <c r="L109" s="28"/>
      <c r="M109" s="173"/>
      <c r="N109" s="173"/>
      <c r="O109" s="173"/>
      <c r="P109" s="173"/>
      <c r="Q109" s="173"/>
      <c r="R109" s="176"/>
      <c r="S109" s="5"/>
      <c r="T109" s="33"/>
    </row>
    <row r="110" spans="2:21" ht="63.75" x14ac:dyDescent="0.2">
      <c r="B110" s="99" t="s">
        <v>130</v>
      </c>
      <c r="C110" s="23" t="s">
        <v>15</v>
      </c>
      <c r="D110" s="81">
        <v>100</v>
      </c>
      <c r="E110" s="81">
        <v>100</v>
      </c>
      <c r="F110" s="81">
        <f>(E110/D110)*100</f>
        <v>100</v>
      </c>
      <c r="G110" s="25" t="s">
        <v>422</v>
      </c>
      <c r="H110" s="23" t="s">
        <v>337</v>
      </c>
      <c r="I110" s="4">
        <v>100</v>
      </c>
      <c r="J110" s="3">
        <f>(0+E110)</f>
        <v>100</v>
      </c>
      <c r="K110" s="5">
        <f t="shared" si="13"/>
        <v>100</v>
      </c>
      <c r="L110" s="28"/>
      <c r="M110" s="173"/>
      <c r="N110" s="173"/>
      <c r="O110" s="173"/>
      <c r="P110" s="173"/>
      <c r="Q110" s="173"/>
      <c r="R110" s="176"/>
      <c r="S110" s="5"/>
      <c r="T110" s="33"/>
    </row>
    <row r="111" spans="2:21" ht="38.25" x14ac:dyDescent="0.2">
      <c r="B111" s="99" t="s">
        <v>131</v>
      </c>
      <c r="C111" s="23" t="s">
        <v>16</v>
      </c>
      <c r="D111" s="81">
        <v>1</v>
      </c>
      <c r="E111" s="3">
        <v>0</v>
      </c>
      <c r="F111" s="81">
        <v>0</v>
      </c>
      <c r="G111" s="28" t="s">
        <v>423</v>
      </c>
      <c r="H111" s="23"/>
      <c r="I111" s="4">
        <v>1</v>
      </c>
      <c r="J111" s="3">
        <f t="shared" ref="J111:J112" si="14">(0+E111)</f>
        <v>0</v>
      </c>
      <c r="K111" s="5">
        <f t="shared" si="13"/>
        <v>0</v>
      </c>
      <c r="L111" s="28"/>
      <c r="M111" s="173"/>
      <c r="N111" s="173"/>
      <c r="O111" s="173"/>
      <c r="P111" s="173"/>
      <c r="Q111" s="173"/>
      <c r="R111" s="176"/>
      <c r="S111" s="5"/>
      <c r="T111" s="33"/>
    </row>
    <row r="112" spans="2:21" ht="51" x14ac:dyDescent="0.2">
      <c r="B112" s="99" t="s">
        <v>132</v>
      </c>
      <c r="C112" s="23" t="s">
        <v>15</v>
      </c>
      <c r="D112" s="81">
        <v>100</v>
      </c>
      <c r="E112" s="3">
        <v>0</v>
      </c>
      <c r="F112" s="81">
        <v>0</v>
      </c>
      <c r="G112" s="28" t="s">
        <v>424</v>
      </c>
      <c r="H112" s="25"/>
      <c r="I112" s="4">
        <v>100</v>
      </c>
      <c r="J112" s="3">
        <f t="shared" si="14"/>
        <v>0</v>
      </c>
      <c r="K112" s="5">
        <f t="shared" si="13"/>
        <v>0</v>
      </c>
      <c r="L112" s="28"/>
      <c r="M112" s="173"/>
      <c r="N112" s="173"/>
      <c r="O112" s="173"/>
      <c r="P112" s="173"/>
      <c r="Q112" s="173"/>
      <c r="R112" s="176"/>
      <c r="S112" s="5"/>
      <c r="T112" s="137">
        <v>10842731684</v>
      </c>
      <c r="U112" s="136">
        <v>9706722773.8400002</v>
      </c>
    </row>
    <row r="113" spans="2:20" ht="114.75" x14ac:dyDescent="0.2">
      <c r="B113" s="99" t="s">
        <v>133</v>
      </c>
      <c r="C113" s="23" t="s">
        <v>17</v>
      </c>
      <c r="D113" s="81">
        <v>0</v>
      </c>
      <c r="E113" s="3">
        <v>0</v>
      </c>
      <c r="F113" s="81">
        <v>0</v>
      </c>
      <c r="G113" s="7" t="s">
        <v>298</v>
      </c>
      <c r="H113" s="7" t="s">
        <v>20</v>
      </c>
      <c r="I113" s="4">
        <v>30</v>
      </c>
      <c r="J113" s="3">
        <v>30</v>
      </c>
      <c r="K113" s="5">
        <f t="shared" si="13"/>
        <v>100</v>
      </c>
      <c r="L113" s="28"/>
      <c r="M113" s="173"/>
      <c r="N113" s="173"/>
      <c r="O113" s="173"/>
      <c r="P113" s="173"/>
      <c r="Q113" s="173"/>
      <c r="R113" s="176"/>
      <c r="S113" s="5"/>
      <c r="T113" s="33"/>
    </row>
    <row r="114" spans="2:20" ht="38.25" x14ac:dyDescent="0.2">
      <c r="B114" s="99" t="s">
        <v>134</v>
      </c>
      <c r="C114" s="23" t="s">
        <v>18</v>
      </c>
      <c r="D114" s="6">
        <v>100</v>
      </c>
      <c r="E114" s="3">
        <v>100</v>
      </c>
      <c r="F114" s="81">
        <f>(E114/D114)*100</f>
        <v>100</v>
      </c>
      <c r="G114" s="28"/>
      <c r="H114" s="23"/>
      <c r="I114" s="4">
        <v>100</v>
      </c>
      <c r="J114" s="3">
        <f>(75+E114)</f>
        <v>175</v>
      </c>
      <c r="K114" s="5">
        <v>100</v>
      </c>
      <c r="L114" s="28"/>
      <c r="M114" s="173"/>
      <c r="N114" s="173"/>
      <c r="O114" s="173"/>
      <c r="P114" s="173"/>
      <c r="Q114" s="173"/>
      <c r="R114" s="176"/>
      <c r="S114" s="5"/>
      <c r="T114" s="33"/>
    </row>
    <row r="115" spans="2:20" ht="76.5" x14ac:dyDescent="0.2">
      <c r="B115" s="99" t="s">
        <v>135</v>
      </c>
      <c r="C115" s="23" t="s">
        <v>136</v>
      </c>
      <c r="D115" s="3">
        <v>5</v>
      </c>
      <c r="E115" s="3">
        <v>5</v>
      </c>
      <c r="F115" s="81">
        <f>(E115/D115)*100</f>
        <v>100</v>
      </c>
      <c r="G115" s="28" t="s">
        <v>20</v>
      </c>
      <c r="H115" s="23" t="s">
        <v>21</v>
      </c>
      <c r="I115" s="5">
        <v>21</v>
      </c>
      <c r="J115" s="3">
        <v>21</v>
      </c>
      <c r="K115" s="5">
        <f t="shared" si="13"/>
        <v>100</v>
      </c>
      <c r="L115" s="28"/>
      <c r="M115" s="173"/>
      <c r="N115" s="173"/>
      <c r="O115" s="173"/>
      <c r="P115" s="173"/>
      <c r="Q115" s="173"/>
      <c r="R115" s="176"/>
      <c r="S115" s="5"/>
      <c r="T115" s="33"/>
    </row>
    <row r="116" spans="2:20" ht="76.5" x14ac:dyDescent="0.2">
      <c r="B116" s="99" t="s">
        <v>137</v>
      </c>
      <c r="C116" s="7" t="s">
        <v>138</v>
      </c>
      <c r="D116" s="6">
        <v>50</v>
      </c>
      <c r="E116" s="6">
        <v>50</v>
      </c>
      <c r="F116" s="81">
        <f>(E116/D116)*100</f>
        <v>100</v>
      </c>
      <c r="G116" s="23" t="s">
        <v>425</v>
      </c>
      <c r="H116" s="23"/>
      <c r="I116" s="4">
        <v>200</v>
      </c>
      <c r="J116" s="3">
        <f>(150+E116)</f>
        <v>200</v>
      </c>
      <c r="K116" s="5">
        <f t="shared" si="13"/>
        <v>100</v>
      </c>
      <c r="L116" s="28"/>
      <c r="M116" s="173"/>
      <c r="N116" s="173"/>
      <c r="O116" s="173"/>
      <c r="P116" s="173"/>
      <c r="Q116" s="173"/>
      <c r="R116" s="176"/>
      <c r="S116" s="5"/>
      <c r="T116" s="33"/>
    </row>
    <row r="117" spans="2:20" ht="102" x14ac:dyDescent="0.2">
      <c r="B117" s="99" t="s">
        <v>139</v>
      </c>
      <c r="C117" s="7" t="s">
        <v>140</v>
      </c>
      <c r="D117" s="6">
        <v>1</v>
      </c>
      <c r="E117" s="6">
        <v>1</v>
      </c>
      <c r="F117" s="81">
        <f>(E117/D117)*100</f>
        <v>100</v>
      </c>
      <c r="G117" s="23" t="s">
        <v>425</v>
      </c>
      <c r="H117" s="23"/>
      <c r="I117" s="4">
        <v>4</v>
      </c>
      <c r="J117" s="3">
        <f>(3+E117)</f>
        <v>4</v>
      </c>
      <c r="K117" s="5">
        <f t="shared" si="13"/>
        <v>100</v>
      </c>
      <c r="L117" s="28"/>
      <c r="M117" s="173"/>
      <c r="N117" s="173"/>
      <c r="O117" s="173"/>
      <c r="P117" s="173"/>
      <c r="Q117" s="173"/>
      <c r="R117" s="176"/>
      <c r="S117" s="5"/>
      <c r="T117" s="33"/>
    </row>
    <row r="118" spans="2:20" ht="66" customHeight="1" x14ac:dyDescent="0.2">
      <c r="B118" s="99" t="s">
        <v>141</v>
      </c>
      <c r="C118" s="25" t="s">
        <v>142</v>
      </c>
      <c r="D118" s="6">
        <v>1</v>
      </c>
      <c r="E118" s="3">
        <v>1</v>
      </c>
      <c r="F118" s="81">
        <v>100</v>
      </c>
      <c r="G118" s="28" t="s">
        <v>428</v>
      </c>
      <c r="H118" s="28"/>
      <c r="I118" s="4">
        <v>1</v>
      </c>
      <c r="J118" s="3">
        <f>(0+E118)</f>
        <v>1</v>
      </c>
      <c r="K118" s="5">
        <f t="shared" si="13"/>
        <v>100</v>
      </c>
      <c r="L118" s="28"/>
      <c r="M118" s="173"/>
      <c r="N118" s="173"/>
      <c r="O118" s="173"/>
      <c r="P118" s="173"/>
      <c r="Q118" s="173"/>
      <c r="R118" s="176"/>
      <c r="S118" s="105"/>
      <c r="T118" s="34"/>
    </row>
    <row r="119" spans="2:20" ht="38.25" x14ac:dyDescent="0.2">
      <c r="B119" s="99" t="s">
        <v>143</v>
      </c>
      <c r="C119" s="25" t="s">
        <v>142</v>
      </c>
      <c r="D119" s="6">
        <v>0</v>
      </c>
      <c r="E119" s="3">
        <v>0</v>
      </c>
      <c r="F119" s="81">
        <v>0</v>
      </c>
      <c r="G119" s="28" t="s">
        <v>298</v>
      </c>
      <c r="H119" s="28" t="s">
        <v>426</v>
      </c>
      <c r="I119" s="4">
        <v>1</v>
      </c>
      <c r="J119" s="3">
        <f>(0+E119)</f>
        <v>0</v>
      </c>
      <c r="K119" s="5">
        <f t="shared" si="13"/>
        <v>0</v>
      </c>
      <c r="L119" s="28"/>
      <c r="M119" s="173"/>
      <c r="N119" s="173"/>
      <c r="O119" s="173"/>
      <c r="P119" s="173"/>
      <c r="Q119" s="173"/>
      <c r="R119" s="176"/>
      <c r="S119" s="5"/>
      <c r="T119" s="33"/>
    </row>
    <row r="120" spans="2:20" ht="15" x14ac:dyDescent="0.2">
      <c r="B120" s="178" t="s">
        <v>144</v>
      </c>
      <c r="C120" s="23" t="s">
        <v>145</v>
      </c>
      <c r="D120" s="3">
        <v>1</v>
      </c>
      <c r="E120" s="3">
        <v>1</v>
      </c>
      <c r="F120" s="81">
        <f>(E120/D120)*100</f>
        <v>100</v>
      </c>
      <c r="G120" s="28" t="s">
        <v>427</v>
      </c>
      <c r="H120" s="28"/>
      <c r="I120" s="4">
        <v>1</v>
      </c>
      <c r="J120" s="3">
        <f>(1+E120)</f>
        <v>2</v>
      </c>
      <c r="K120" s="5">
        <v>100</v>
      </c>
      <c r="L120" s="28"/>
      <c r="M120" s="173"/>
      <c r="N120" s="173"/>
      <c r="O120" s="173"/>
      <c r="P120" s="173"/>
      <c r="Q120" s="173"/>
      <c r="R120" s="176"/>
      <c r="S120" s="5"/>
      <c r="T120" s="33"/>
    </row>
    <row r="121" spans="2:20" ht="15" x14ac:dyDescent="0.2">
      <c r="B121" s="178"/>
      <c r="C121" s="23" t="s">
        <v>146</v>
      </c>
      <c r="D121" s="8">
        <v>0</v>
      </c>
      <c r="E121" s="3">
        <v>0</v>
      </c>
      <c r="F121" s="81"/>
      <c r="G121" s="28" t="s">
        <v>298</v>
      </c>
      <c r="H121" s="28" t="s">
        <v>20</v>
      </c>
      <c r="I121" s="4">
        <v>2</v>
      </c>
      <c r="J121" s="3">
        <f>(2+E121)</f>
        <v>2</v>
      </c>
      <c r="K121" s="5">
        <f t="shared" si="13"/>
        <v>100</v>
      </c>
      <c r="L121" s="28"/>
      <c r="M121" s="173"/>
      <c r="N121" s="173"/>
      <c r="O121" s="173"/>
      <c r="P121" s="173"/>
      <c r="Q121" s="173"/>
      <c r="R121" s="176"/>
      <c r="S121" s="5"/>
      <c r="T121" s="33"/>
    </row>
    <row r="122" spans="2:20" ht="38.25" x14ac:dyDescent="0.2">
      <c r="B122" s="99" t="s">
        <v>147</v>
      </c>
      <c r="C122" s="25" t="s">
        <v>19</v>
      </c>
      <c r="D122" s="3">
        <v>1</v>
      </c>
      <c r="E122" s="3">
        <v>1</v>
      </c>
      <c r="F122" s="81">
        <f>(E122/D122)*100</f>
        <v>100</v>
      </c>
      <c r="G122" s="28" t="s">
        <v>428</v>
      </c>
      <c r="H122" s="28"/>
      <c r="I122" s="4">
        <v>4</v>
      </c>
      <c r="J122" s="3">
        <f>(3+E122)</f>
        <v>4</v>
      </c>
      <c r="K122" s="5">
        <f t="shared" si="13"/>
        <v>100</v>
      </c>
      <c r="L122" s="28"/>
      <c r="M122" s="173"/>
      <c r="N122" s="173"/>
      <c r="O122" s="173"/>
      <c r="P122" s="173"/>
      <c r="Q122" s="173"/>
      <c r="R122" s="176"/>
      <c r="S122" s="5"/>
      <c r="T122" s="33"/>
    </row>
    <row r="123" spans="2:20" ht="25.5" x14ac:dyDescent="0.2">
      <c r="B123" s="99" t="s">
        <v>338</v>
      </c>
      <c r="C123" s="25" t="s">
        <v>148</v>
      </c>
      <c r="D123" s="3">
        <v>1</v>
      </c>
      <c r="E123" s="3">
        <v>1</v>
      </c>
      <c r="F123" s="81">
        <f>(E123/D123)*100</f>
        <v>100</v>
      </c>
      <c r="G123" s="28" t="s">
        <v>429</v>
      </c>
      <c r="H123" s="28"/>
      <c r="I123" s="4">
        <v>1</v>
      </c>
      <c r="J123" s="81">
        <v>1</v>
      </c>
      <c r="K123" s="5">
        <f t="shared" si="13"/>
        <v>100</v>
      </c>
      <c r="L123" s="28"/>
      <c r="M123" s="173"/>
      <c r="N123" s="173"/>
      <c r="O123" s="173"/>
      <c r="P123" s="173"/>
      <c r="Q123" s="173"/>
      <c r="R123" s="176"/>
      <c r="S123" s="5"/>
      <c r="T123" s="33"/>
    </row>
    <row r="124" spans="2:20" x14ac:dyDescent="0.2">
      <c r="B124" s="99" t="s">
        <v>295</v>
      </c>
      <c r="C124" s="28"/>
      <c r="D124" s="58">
        <v>1500</v>
      </c>
      <c r="E124" s="58"/>
      <c r="F124" s="58">
        <f>SUM(F104:F123)</f>
        <v>1300</v>
      </c>
      <c r="G124" s="59">
        <f>F124/D124*100</f>
        <v>86.666666666666671</v>
      </c>
      <c r="H124" s="28"/>
      <c r="I124" s="64">
        <v>2000</v>
      </c>
      <c r="J124" s="64"/>
      <c r="K124" s="64">
        <f>SUM(K104:K123)</f>
        <v>1700</v>
      </c>
      <c r="L124" s="64">
        <f>K124/I124*100</f>
        <v>85</v>
      </c>
      <c r="M124" s="30"/>
      <c r="N124" s="30"/>
      <c r="O124" s="30"/>
      <c r="P124" s="30"/>
      <c r="Q124" s="30"/>
      <c r="R124" s="30"/>
      <c r="S124" s="30"/>
      <c r="T124" s="13"/>
    </row>
    <row r="125" spans="2:20" x14ac:dyDescent="0.2">
      <c r="B125" s="99" t="s">
        <v>295</v>
      </c>
      <c r="C125" s="28"/>
      <c r="D125" s="29"/>
      <c r="E125" s="29"/>
      <c r="F125" s="29"/>
      <c r="G125" s="28"/>
      <c r="H125" s="28"/>
      <c r="I125" s="28"/>
      <c r="J125" s="28"/>
      <c r="K125" s="28"/>
      <c r="L125" s="28"/>
      <c r="M125" s="30"/>
      <c r="N125" s="30"/>
      <c r="O125" s="30"/>
      <c r="P125" s="30"/>
      <c r="Q125" s="30"/>
      <c r="R125" s="30"/>
      <c r="S125" s="30"/>
      <c r="T125" s="13"/>
    </row>
    <row r="126" spans="2:20" ht="25.5" x14ac:dyDescent="0.2">
      <c r="B126" s="102" t="s">
        <v>339</v>
      </c>
      <c r="C126" s="28"/>
      <c r="D126" s="29"/>
      <c r="E126" s="29"/>
      <c r="F126" s="29"/>
      <c r="G126" s="28"/>
      <c r="H126" s="28"/>
      <c r="I126" s="28"/>
      <c r="J126" s="28"/>
      <c r="K126" s="28"/>
      <c r="L126" s="28"/>
      <c r="M126" s="30"/>
      <c r="N126" s="30"/>
      <c r="O126" s="30"/>
      <c r="P126" s="30"/>
      <c r="Q126" s="30"/>
      <c r="R126" s="30"/>
      <c r="S126" s="30"/>
      <c r="T126" s="13"/>
    </row>
    <row r="127" spans="2:20" ht="25.5" x14ac:dyDescent="0.2">
      <c r="B127" s="99" t="s">
        <v>340</v>
      </c>
      <c r="C127" s="28"/>
      <c r="D127" s="29"/>
      <c r="E127" s="29"/>
      <c r="F127" s="29"/>
      <c r="G127" s="28"/>
      <c r="H127" s="28"/>
      <c r="I127" s="28"/>
      <c r="J127" s="28"/>
      <c r="K127" s="28"/>
      <c r="L127" s="28"/>
      <c r="M127" s="30"/>
      <c r="N127" s="30"/>
      <c r="O127" s="30"/>
      <c r="P127" s="30"/>
      <c r="Q127" s="30"/>
      <c r="R127" s="30"/>
      <c r="S127" s="30"/>
      <c r="T127" s="13"/>
    </row>
    <row r="128" spans="2:20" ht="38.25" x14ac:dyDescent="0.2">
      <c r="B128" s="99" t="s">
        <v>149</v>
      </c>
      <c r="C128" s="35" t="s">
        <v>150</v>
      </c>
      <c r="D128" s="81">
        <v>1</v>
      </c>
      <c r="E128" s="81">
        <v>1</v>
      </c>
      <c r="F128" s="82">
        <f t="shared" ref="F128:F133" si="15">(E128/D128)*100</f>
        <v>100</v>
      </c>
      <c r="G128" s="28" t="s">
        <v>353</v>
      </c>
      <c r="H128" s="28"/>
      <c r="I128" s="83">
        <v>4</v>
      </c>
      <c r="J128" s="81">
        <f>(3+E128)</f>
        <v>4</v>
      </c>
      <c r="K128" s="82">
        <f>(J128/I128)*100</f>
        <v>100</v>
      </c>
      <c r="L128" s="28"/>
      <c r="M128" s="173">
        <v>700000000</v>
      </c>
      <c r="N128" s="173">
        <v>619668882.32000005</v>
      </c>
      <c r="O128" s="179">
        <f>(N128/M128)*100</f>
        <v>88.524126045714297</v>
      </c>
      <c r="P128" s="180">
        <v>2673628926.9000001</v>
      </c>
      <c r="Q128" s="181">
        <v>2305196069.27</v>
      </c>
      <c r="R128" s="179">
        <f>(Q128/P128)*100</f>
        <v>86.219745981833455</v>
      </c>
      <c r="S128" s="30"/>
      <c r="T128" s="13"/>
    </row>
    <row r="129" spans="2:21" ht="38.25" x14ac:dyDescent="0.2">
      <c r="B129" s="99" t="s">
        <v>151</v>
      </c>
      <c r="C129" s="35" t="s">
        <v>152</v>
      </c>
      <c r="D129" s="81">
        <v>1</v>
      </c>
      <c r="E129" s="81">
        <v>1</v>
      </c>
      <c r="F129" s="82">
        <f t="shared" si="15"/>
        <v>100</v>
      </c>
      <c r="G129" s="28" t="s">
        <v>430</v>
      </c>
      <c r="H129" s="28"/>
      <c r="I129" s="36">
        <v>4</v>
      </c>
      <c r="J129" s="81">
        <f>(3+E129)</f>
        <v>4</v>
      </c>
      <c r="K129" s="82">
        <f t="shared" ref="K129:K135" si="16">(J129/I129)*100</f>
        <v>100</v>
      </c>
      <c r="L129" s="28"/>
      <c r="M129" s="173"/>
      <c r="N129" s="173"/>
      <c r="O129" s="179"/>
      <c r="P129" s="180"/>
      <c r="Q129" s="181"/>
      <c r="R129" s="179"/>
      <c r="S129" s="30"/>
      <c r="T129" s="13"/>
    </row>
    <row r="130" spans="2:21" ht="38.25" x14ac:dyDescent="0.2">
      <c r="B130" s="99" t="s">
        <v>153</v>
      </c>
      <c r="C130" s="35" t="s">
        <v>154</v>
      </c>
      <c r="D130" s="81">
        <v>5</v>
      </c>
      <c r="E130" s="81">
        <v>5</v>
      </c>
      <c r="F130" s="82">
        <f t="shared" si="15"/>
        <v>100</v>
      </c>
      <c r="G130" s="28"/>
      <c r="H130" s="28"/>
      <c r="I130" s="36">
        <v>30</v>
      </c>
      <c r="J130" s="81">
        <f>(27+E130)</f>
        <v>32</v>
      </c>
      <c r="K130" s="82">
        <f t="shared" si="16"/>
        <v>106.66666666666667</v>
      </c>
      <c r="L130" s="28"/>
      <c r="M130" s="173"/>
      <c r="N130" s="173"/>
      <c r="O130" s="179"/>
      <c r="P130" s="180"/>
      <c r="Q130" s="181"/>
      <c r="R130" s="179"/>
      <c r="S130" s="30"/>
      <c r="T130" s="13"/>
    </row>
    <row r="131" spans="2:21" ht="38.25" x14ac:dyDescent="0.2">
      <c r="B131" s="99" t="s">
        <v>155</v>
      </c>
      <c r="C131" s="35" t="s">
        <v>156</v>
      </c>
      <c r="D131" s="81">
        <v>0</v>
      </c>
      <c r="E131" s="81">
        <v>0</v>
      </c>
      <c r="F131" s="82">
        <v>0</v>
      </c>
      <c r="G131" s="28" t="s">
        <v>298</v>
      </c>
      <c r="H131" s="28" t="s">
        <v>20</v>
      </c>
      <c r="I131" s="36">
        <v>30</v>
      </c>
      <c r="J131" s="81">
        <f>(27+E131)</f>
        <v>27</v>
      </c>
      <c r="K131" s="82">
        <f t="shared" si="16"/>
        <v>90</v>
      </c>
      <c r="L131" s="28"/>
      <c r="M131" s="173"/>
      <c r="N131" s="173"/>
      <c r="O131" s="179"/>
      <c r="P131" s="180"/>
      <c r="Q131" s="181"/>
      <c r="R131" s="179"/>
      <c r="S131" s="30"/>
      <c r="T131" s="134">
        <v>2673628926.9000001</v>
      </c>
      <c r="U131" s="136">
        <v>2305196069.27</v>
      </c>
    </row>
    <row r="132" spans="2:21" ht="38.25" x14ac:dyDescent="0.2">
      <c r="B132" s="99" t="s">
        <v>157</v>
      </c>
      <c r="C132" s="7" t="s">
        <v>158</v>
      </c>
      <c r="D132" s="81">
        <v>1</v>
      </c>
      <c r="E132" s="81">
        <v>1</v>
      </c>
      <c r="F132" s="82">
        <f t="shared" si="15"/>
        <v>100</v>
      </c>
      <c r="G132" s="28" t="s">
        <v>431</v>
      </c>
      <c r="H132" s="28"/>
      <c r="I132" s="36">
        <v>4</v>
      </c>
      <c r="J132" s="81">
        <f>(3+E132)</f>
        <v>4</v>
      </c>
      <c r="K132" s="82">
        <f t="shared" si="16"/>
        <v>100</v>
      </c>
      <c r="L132" s="28"/>
      <c r="M132" s="173"/>
      <c r="N132" s="173"/>
      <c r="O132" s="179"/>
      <c r="P132" s="180"/>
      <c r="Q132" s="181"/>
      <c r="R132" s="179"/>
      <c r="S132" s="30"/>
      <c r="T132" s="13"/>
    </row>
    <row r="133" spans="2:21" ht="38.25" x14ac:dyDescent="0.2">
      <c r="B133" s="99" t="s">
        <v>159</v>
      </c>
      <c r="C133" s="7" t="s">
        <v>150</v>
      </c>
      <c r="D133" s="81">
        <v>1</v>
      </c>
      <c r="E133" s="81">
        <v>1</v>
      </c>
      <c r="F133" s="82">
        <f t="shared" si="15"/>
        <v>100</v>
      </c>
      <c r="G133" s="28"/>
      <c r="H133" s="28"/>
      <c r="I133" s="36">
        <v>4</v>
      </c>
      <c r="J133" s="81">
        <f>(3+E133)</f>
        <v>4</v>
      </c>
      <c r="K133" s="82">
        <f t="shared" si="16"/>
        <v>100</v>
      </c>
      <c r="L133" s="28"/>
      <c r="M133" s="173"/>
      <c r="N133" s="173"/>
      <c r="O133" s="179"/>
      <c r="P133" s="180"/>
      <c r="Q133" s="181"/>
      <c r="R133" s="179"/>
      <c r="S133" s="30"/>
      <c r="T133" s="13"/>
    </row>
    <row r="134" spans="2:21" ht="25.5" x14ac:dyDescent="0.2">
      <c r="B134" s="99" t="s">
        <v>160</v>
      </c>
      <c r="C134" s="7" t="s">
        <v>161</v>
      </c>
      <c r="D134" s="81">
        <v>0</v>
      </c>
      <c r="E134" s="81">
        <v>0</v>
      </c>
      <c r="F134" s="82">
        <v>0</v>
      </c>
      <c r="G134" s="28" t="s">
        <v>298</v>
      </c>
      <c r="H134" s="28" t="s">
        <v>20</v>
      </c>
      <c r="I134" s="36">
        <v>1</v>
      </c>
      <c r="J134" s="81">
        <f>(1+E134)</f>
        <v>1</v>
      </c>
      <c r="K134" s="82">
        <f t="shared" si="16"/>
        <v>100</v>
      </c>
      <c r="L134" s="28"/>
      <c r="M134" s="173"/>
      <c r="N134" s="173"/>
      <c r="O134" s="179"/>
      <c r="P134" s="180"/>
      <c r="Q134" s="181"/>
      <c r="R134" s="179"/>
      <c r="S134" s="30"/>
      <c r="T134" s="13"/>
    </row>
    <row r="135" spans="2:21" ht="38.25" x14ac:dyDescent="0.2">
      <c r="B135" s="99" t="s">
        <v>162</v>
      </c>
      <c r="C135" s="7" t="s">
        <v>163</v>
      </c>
      <c r="D135" s="81">
        <v>1</v>
      </c>
      <c r="E135" s="81">
        <v>1</v>
      </c>
      <c r="F135" s="82">
        <f>(E135/D135)*100</f>
        <v>100</v>
      </c>
      <c r="G135" s="28" t="s">
        <v>432</v>
      </c>
      <c r="H135" s="28"/>
      <c r="I135" s="36">
        <v>2</v>
      </c>
      <c r="J135" s="81">
        <f>(1+E135)</f>
        <v>2</v>
      </c>
      <c r="K135" s="82">
        <f t="shared" si="16"/>
        <v>100</v>
      </c>
      <c r="L135" s="28"/>
      <c r="M135" s="173"/>
      <c r="N135" s="173"/>
      <c r="O135" s="179"/>
      <c r="P135" s="180"/>
      <c r="Q135" s="181"/>
      <c r="R135" s="179"/>
      <c r="S135" s="30"/>
      <c r="T135" s="13"/>
    </row>
    <row r="136" spans="2:21" x14ac:dyDescent="0.2">
      <c r="B136" s="99" t="s">
        <v>295</v>
      </c>
      <c r="C136" s="28"/>
      <c r="D136" s="58">
        <v>600</v>
      </c>
      <c r="E136" s="58"/>
      <c r="F136" s="58">
        <f>SUM(F128:F135)</f>
        <v>600</v>
      </c>
      <c r="G136" s="59">
        <f>F136/D136*100</f>
        <v>100</v>
      </c>
      <c r="H136" s="28"/>
      <c r="I136" s="64">
        <v>800</v>
      </c>
      <c r="J136" s="64"/>
      <c r="K136" s="64">
        <f>SUM(K128:K135)</f>
        <v>796.66666666666674</v>
      </c>
      <c r="L136" s="64">
        <f>K136/I136*100</f>
        <v>99.583333333333343</v>
      </c>
      <c r="M136" s="173"/>
      <c r="N136" s="173"/>
      <c r="O136" s="179"/>
      <c r="P136" s="180"/>
      <c r="Q136" s="181"/>
      <c r="R136" s="179"/>
      <c r="S136" s="30"/>
      <c r="T136" s="13"/>
    </row>
    <row r="137" spans="2:21" ht="25.5" x14ac:dyDescent="0.2">
      <c r="B137" s="99" t="s">
        <v>341</v>
      </c>
      <c r="C137" s="28"/>
      <c r="D137" s="29"/>
      <c r="E137" s="29"/>
      <c r="F137" s="29"/>
      <c r="G137" s="28"/>
      <c r="H137" s="28"/>
      <c r="I137" s="28"/>
      <c r="J137" s="28"/>
      <c r="K137" s="28"/>
      <c r="L137" s="28"/>
      <c r="M137" s="30"/>
      <c r="N137" s="30"/>
      <c r="O137" s="30"/>
      <c r="P137" s="30"/>
      <c r="Q137" s="30"/>
      <c r="R137" s="30"/>
      <c r="S137" s="30"/>
      <c r="T137" s="13"/>
    </row>
    <row r="138" spans="2:21" ht="102" x14ac:dyDescent="0.2">
      <c r="B138" s="99" t="s">
        <v>164</v>
      </c>
      <c r="C138" s="153" t="s">
        <v>165</v>
      </c>
      <c r="D138" s="182">
        <v>100</v>
      </c>
      <c r="E138" s="182">
        <v>100</v>
      </c>
      <c r="F138" s="183">
        <f>(E138/D138)*100</f>
        <v>100</v>
      </c>
      <c r="G138" s="178" t="s">
        <v>342</v>
      </c>
      <c r="H138" s="178" t="s">
        <v>343</v>
      </c>
      <c r="I138" s="153">
        <v>400</v>
      </c>
      <c r="J138" s="184">
        <f>(300+E138)</f>
        <v>400</v>
      </c>
      <c r="K138" s="184">
        <f>(J138/I138)*100</f>
        <v>100</v>
      </c>
      <c r="L138" s="28"/>
      <c r="M138" s="186">
        <v>45148.99</v>
      </c>
      <c r="N138" s="187">
        <v>0</v>
      </c>
      <c r="O138" s="188">
        <f>(N138/M138)*100</f>
        <v>0</v>
      </c>
      <c r="P138" s="187">
        <v>129381795.06</v>
      </c>
      <c r="Q138" s="186">
        <v>63467471.439999998</v>
      </c>
      <c r="R138" s="188">
        <f>(Q138/P138)*100</f>
        <v>49.054406310074263</v>
      </c>
      <c r="S138" s="30"/>
      <c r="T138" s="13"/>
    </row>
    <row r="139" spans="2:21" ht="38.25" x14ac:dyDescent="0.2">
      <c r="B139" s="99" t="s">
        <v>166</v>
      </c>
      <c r="C139" s="153"/>
      <c r="D139" s="182"/>
      <c r="E139" s="182"/>
      <c r="F139" s="183"/>
      <c r="G139" s="178"/>
      <c r="H139" s="178"/>
      <c r="I139" s="153"/>
      <c r="J139" s="184"/>
      <c r="K139" s="184"/>
      <c r="L139" s="28"/>
      <c r="M139" s="186"/>
      <c r="N139" s="187"/>
      <c r="O139" s="188"/>
      <c r="P139" s="187"/>
      <c r="Q139" s="186"/>
      <c r="R139" s="188"/>
      <c r="S139" s="30"/>
      <c r="T139" s="134">
        <v>129381795.06</v>
      </c>
      <c r="U139" s="134">
        <v>63467471.439999998</v>
      </c>
    </row>
    <row r="140" spans="2:21" ht="63.75" x14ac:dyDescent="0.2">
      <c r="B140" s="99" t="s">
        <v>167</v>
      </c>
      <c r="C140" s="153"/>
      <c r="D140" s="182"/>
      <c r="E140" s="182"/>
      <c r="F140" s="183"/>
      <c r="G140" s="178"/>
      <c r="H140" s="178"/>
      <c r="I140" s="153"/>
      <c r="J140" s="184"/>
      <c r="K140" s="184"/>
      <c r="L140" s="28"/>
      <c r="M140" s="186"/>
      <c r="N140" s="187"/>
      <c r="O140" s="188"/>
      <c r="P140" s="187"/>
      <c r="Q140" s="186"/>
      <c r="R140" s="188"/>
      <c r="S140" s="30"/>
      <c r="T140" s="13"/>
    </row>
    <row r="141" spans="2:21" x14ac:dyDescent="0.2">
      <c r="B141" s="99" t="s">
        <v>295</v>
      </c>
      <c r="C141" s="28"/>
      <c r="D141" s="58">
        <v>100</v>
      </c>
      <c r="E141" s="58"/>
      <c r="F141" s="58">
        <v>100</v>
      </c>
      <c r="G141" s="59">
        <v>100</v>
      </c>
      <c r="H141" s="28"/>
      <c r="I141" s="64">
        <v>400</v>
      </c>
      <c r="J141" s="64"/>
      <c r="K141" s="64">
        <v>400</v>
      </c>
      <c r="L141" s="64">
        <v>100</v>
      </c>
      <c r="M141" s="30"/>
      <c r="N141" s="30"/>
      <c r="O141" s="30"/>
      <c r="P141" s="30"/>
      <c r="Q141" s="30"/>
      <c r="R141" s="30"/>
      <c r="S141" s="30"/>
      <c r="T141" s="13"/>
    </row>
    <row r="142" spans="2:21" ht="48" customHeight="1" x14ac:dyDescent="0.2">
      <c r="B142" s="99" t="s">
        <v>344</v>
      </c>
      <c r="C142" s="28"/>
      <c r="D142" s="29"/>
      <c r="E142" s="29"/>
      <c r="F142" s="29"/>
      <c r="G142" s="28"/>
      <c r="H142" s="28"/>
      <c r="I142" s="28"/>
      <c r="J142" s="28"/>
      <c r="K142" s="28"/>
      <c r="L142" s="28"/>
      <c r="M142" s="30"/>
      <c r="N142" s="30"/>
      <c r="O142" s="30"/>
      <c r="P142" s="30"/>
      <c r="Q142" s="30"/>
      <c r="R142" s="30"/>
      <c r="S142" s="30"/>
      <c r="T142" s="13"/>
    </row>
    <row r="143" spans="2:21" ht="38.25" x14ac:dyDescent="0.2">
      <c r="B143" s="99" t="s">
        <v>168</v>
      </c>
      <c r="C143" s="23" t="s">
        <v>169</v>
      </c>
      <c r="D143" s="3">
        <v>1</v>
      </c>
      <c r="E143" s="3">
        <v>1</v>
      </c>
      <c r="F143" s="37">
        <f t="shared" ref="F143:F169" si="17">(E143/D143)*100</f>
        <v>100</v>
      </c>
      <c r="G143" s="28" t="s">
        <v>433</v>
      </c>
      <c r="H143" s="28"/>
      <c r="I143" s="38">
        <v>4</v>
      </c>
      <c r="J143" s="81">
        <f>(3+E143)</f>
        <v>4</v>
      </c>
      <c r="K143" s="3">
        <f t="shared" ref="K143:K171" si="18">(J143/I143)*100</f>
        <v>100</v>
      </c>
      <c r="L143" s="28"/>
      <c r="M143" s="173">
        <v>4685000000</v>
      </c>
      <c r="N143" s="173">
        <v>4658302496.6599998</v>
      </c>
      <c r="O143" s="185">
        <f>(N143/M143)*100</f>
        <v>99.430149341728921</v>
      </c>
      <c r="P143" s="173">
        <v>9453205495</v>
      </c>
      <c r="Q143" s="173">
        <f>(N143+4321837644.38)</f>
        <v>8980140141.0400009</v>
      </c>
      <c r="R143" s="185">
        <f>(Q143/P143)*100</f>
        <v>94.99571490104374</v>
      </c>
      <c r="S143" s="30"/>
      <c r="T143" s="13"/>
    </row>
    <row r="144" spans="2:21" ht="25.5" x14ac:dyDescent="0.2">
      <c r="B144" s="99" t="s">
        <v>170</v>
      </c>
      <c r="C144" s="35" t="s">
        <v>171</v>
      </c>
      <c r="D144" s="81">
        <v>1</v>
      </c>
      <c r="E144" s="3">
        <v>1</v>
      </c>
      <c r="F144" s="37">
        <f t="shared" si="17"/>
        <v>100</v>
      </c>
      <c r="G144" s="28" t="s">
        <v>434</v>
      </c>
      <c r="H144" s="28"/>
      <c r="I144" s="38">
        <v>6</v>
      </c>
      <c r="J144" s="39">
        <v>7</v>
      </c>
      <c r="K144" s="3">
        <v>100</v>
      </c>
      <c r="L144" s="28"/>
      <c r="M144" s="173"/>
      <c r="N144" s="173"/>
      <c r="O144" s="185"/>
      <c r="P144" s="173"/>
      <c r="Q144" s="173"/>
      <c r="R144" s="185"/>
      <c r="S144" s="30"/>
      <c r="T144" s="13"/>
    </row>
    <row r="145" spans="2:21" ht="63.75" x14ac:dyDescent="0.2">
      <c r="B145" s="99" t="s">
        <v>172</v>
      </c>
      <c r="C145" s="23" t="s">
        <v>173</v>
      </c>
      <c r="D145" s="3">
        <v>1</v>
      </c>
      <c r="E145" s="3">
        <v>1</v>
      </c>
      <c r="F145" s="37">
        <f t="shared" si="17"/>
        <v>100</v>
      </c>
      <c r="G145" s="28" t="s">
        <v>435</v>
      </c>
      <c r="H145" s="68"/>
      <c r="I145" s="38">
        <v>1</v>
      </c>
      <c r="J145" s="81">
        <v>1</v>
      </c>
      <c r="K145" s="3">
        <f t="shared" si="18"/>
        <v>100</v>
      </c>
      <c r="L145" s="28"/>
      <c r="M145" s="173"/>
      <c r="N145" s="173"/>
      <c r="O145" s="185"/>
      <c r="P145" s="173"/>
      <c r="Q145" s="173"/>
      <c r="R145" s="185"/>
      <c r="S145" s="30"/>
      <c r="T145" s="13"/>
    </row>
    <row r="146" spans="2:21" ht="105" customHeight="1" x14ac:dyDescent="0.2">
      <c r="B146" s="99" t="s">
        <v>174</v>
      </c>
      <c r="C146" s="23" t="s">
        <v>175</v>
      </c>
      <c r="D146" s="3">
        <v>1</v>
      </c>
      <c r="E146" s="3">
        <v>1</v>
      </c>
      <c r="F146" s="37">
        <f t="shared" si="17"/>
        <v>100</v>
      </c>
      <c r="G146" s="46"/>
      <c r="H146" s="46"/>
      <c r="I146" s="38">
        <v>1</v>
      </c>
      <c r="J146" s="81">
        <f>(1+E146)</f>
        <v>2</v>
      </c>
      <c r="K146" s="3">
        <v>100</v>
      </c>
      <c r="L146" s="28"/>
      <c r="M146" s="173"/>
      <c r="N146" s="173"/>
      <c r="O146" s="185"/>
      <c r="P146" s="173"/>
      <c r="Q146" s="173"/>
      <c r="R146" s="185"/>
      <c r="S146" s="30"/>
      <c r="T146" s="13"/>
    </row>
    <row r="147" spans="2:21" ht="102" x14ac:dyDescent="0.2">
      <c r="B147" s="99" t="s">
        <v>176</v>
      </c>
      <c r="C147" s="7" t="s">
        <v>177</v>
      </c>
      <c r="D147" s="3">
        <v>1</v>
      </c>
      <c r="E147" s="3">
        <v>1</v>
      </c>
      <c r="F147" s="37">
        <f t="shared" si="17"/>
        <v>100</v>
      </c>
      <c r="G147" s="28"/>
      <c r="H147" s="28"/>
      <c r="I147" s="38">
        <v>1</v>
      </c>
      <c r="J147" s="81">
        <v>1</v>
      </c>
      <c r="K147" s="3">
        <f t="shared" si="18"/>
        <v>100</v>
      </c>
      <c r="L147" s="28"/>
      <c r="M147" s="173"/>
      <c r="N147" s="173"/>
      <c r="O147" s="185"/>
      <c r="P147" s="173"/>
      <c r="Q147" s="173"/>
      <c r="R147" s="185"/>
      <c r="S147" s="30"/>
      <c r="T147" s="13"/>
    </row>
    <row r="148" spans="2:21" ht="51" x14ac:dyDescent="0.2">
      <c r="B148" s="99" t="s">
        <v>178</v>
      </c>
      <c r="C148" s="7" t="s">
        <v>179</v>
      </c>
      <c r="D148" s="3">
        <v>21</v>
      </c>
      <c r="E148" s="3">
        <v>21</v>
      </c>
      <c r="F148" s="37">
        <f t="shared" si="17"/>
        <v>100</v>
      </c>
      <c r="G148" s="28"/>
      <c r="H148" s="28"/>
      <c r="I148" s="38">
        <v>21</v>
      </c>
      <c r="J148" s="81">
        <v>21</v>
      </c>
      <c r="K148" s="3">
        <f t="shared" si="18"/>
        <v>100</v>
      </c>
      <c r="L148" s="28"/>
      <c r="M148" s="173"/>
      <c r="N148" s="173"/>
      <c r="O148" s="185"/>
      <c r="P148" s="173"/>
      <c r="Q148" s="173"/>
      <c r="R148" s="185"/>
      <c r="S148" s="30"/>
      <c r="T148" s="13"/>
    </row>
    <row r="149" spans="2:21" ht="38.25" x14ac:dyDescent="0.2">
      <c r="B149" s="99" t="s">
        <v>180</v>
      </c>
      <c r="C149" s="23" t="s">
        <v>181</v>
      </c>
      <c r="D149" s="3">
        <v>4</v>
      </c>
      <c r="E149" s="3">
        <v>4</v>
      </c>
      <c r="F149" s="37">
        <f t="shared" si="17"/>
        <v>100</v>
      </c>
      <c r="G149" s="46"/>
      <c r="H149" s="28"/>
      <c r="I149" s="38">
        <v>16</v>
      </c>
      <c r="J149" s="81">
        <f>(12+E149)</f>
        <v>16</v>
      </c>
      <c r="K149" s="3">
        <f t="shared" si="18"/>
        <v>100</v>
      </c>
      <c r="L149" s="28"/>
      <c r="M149" s="173"/>
      <c r="N149" s="173"/>
      <c r="O149" s="185"/>
      <c r="P149" s="173"/>
      <c r="Q149" s="173"/>
      <c r="R149" s="185"/>
      <c r="S149" s="30"/>
      <c r="T149" s="13"/>
    </row>
    <row r="150" spans="2:21" ht="38.25" x14ac:dyDescent="0.2">
      <c r="B150" s="99" t="s">
        <v>182</v>
      </c>
      <c r="C150" s="7" t="s">
        <v>183</v>
      </c>
      <c r="D150" s="3">
        <v>1</v>
      </c>
      <c r="E150" s="3">
        <v>1</v>
      </c>
      <c r="F150" s="37">
        <f t="shared" si="17"/>
        <v>100</v>
      </c>
      <c r="G150" s="25" t="s">
        <v>436</v>
      </c>
      <c r="H150" s="68"/>
      <c r="I150" s="38">
        <v>4</v>
      </c>
      <c r="J150" s="81">
        <f>(3+E150)</f>
        <v>4</v>
      </c>
      <c r="K150" s="3">
        <f t="shared" si="18"/>
        <v>100</v>
      </c>
      <c r="L150" s="28"/>
      <c r="M150" s="173"/>
      <c r="N150" s="173"/>
      <c r="O150" s="185"/>
      <c r="P150" s="173"/>
      <c r="Q150" s="173"/>
      <c r="R150" s="185"/>
      <c r="S150" s="30"/>
      <c r="T150" s="13"/>
    </row>
    <row r="151" spans="2:21" ht="51" x14ac:dyDescent="0.2">
      <c r="B151" s="99" t="s">
        <v>184</v>
      </c>
      <c r="C151" s="7" t="s">
        <v>185</v>
      </c>
      <c r="D151" s="81">
        <v>0</v>
      </c>
      <c r="E151" s="3">
        <v>0</v>
      </c>
      <c r="F151" s="82">
        <v>0</v>
      </c>
      <c r="G151" s="25" t="s">
        <v>298</v>
      </c>
      <c r="H151" s="69" t="s">
        <v>20</v>
      </c>
      <c r="I151" s="38">
        <v>1</v>
      </c>
      <c r="J151" s="6">
        <v>1</v>
      </c>
      <c r="K151" s="3">
        <f t="shared" si="18"/>
        <v>100</v>
      </c>
      <c r="L151" s="28"/>
      <c r="M151" s="173"/>
      <c r="N151" s="173"/>
      <c r="O151" s="185"/>
      <c r="P151" s="173"/>
      <c r="Q151" s="173"/>
      <c r="R151" s="185"/>
      <c r="S151" s="30"/>
      <c r="T151" s="13"/>
    </row>
    <row r="152" spans="2:21" ht="51" x14ac:dyDescent="0.2">
      <c r="B152" s="99" t="s">
        <v>186</v>
      </c>
      <c r="C152" s="7" t="s">
        <v>187</v>
      </c>
      <c r="D152" s="81">
        <v>0</v>
      </c>
      <c r="E152" s="3">
        <v>0</v>
      </c>
      <c r="F152" s="82">
        <v>0</v>
      </c>
      <c r="G152" s="25" t="s">
        <v>298</v>
      </c>
      <c r="H152" s="69" t="s">
        <v>20</v>
      </c>
      <c r="I152" s="38">
        <v>1</v>
      </c>
      <c r="J152" s="6">
        <v>1</v>
      </c>
      <c r="K152" s="3">
        <f t="shared" si="18"/>
        <v>100</v>
      </c>
      <c r="L152" s="28"/>
      <c r="M152" s="173"/>
      <c r="N152" s="173"/>
      <c r="O152" s="185"/>
      <c r="P152" s="173"/>
      <c r="Q152" s="173"/>
      <c r="R152" s="185"/>
      <c r="S152" s="30"/>
      <c r="T152" s="13"/>
    </row>
    <row r="153" spans="2:21" ht="63.75" x14ac:dyDescent="0.2">
      <c r="B153" s="99" t="s">
        <v>188</v>
      </c>
      <c r="C153" s="7" t="s">
        <v>189</v>
      </c>
      <c r="D153" s="81">
        <v>0</v>
      </c>
      <c r="E153" s="3">
        <v>0</v>
      </c>
      <c r="F153" s="82">
        <v>0</v>
      </c>
      <c r="G153" s="25" t="s">
        <v>298</v>
      </c>
      <c r="H153" s="69" t="s">
        <v>20</v>
      </c>
      <c r="I153" s="38">
        <v>1</v>
      </c>
      <c r="J153" s="6">
        <v>1</v>
      </c>
      <c r="K153" s="3">
        <f t="shared" si="18"/>
        <v>100</v>
      </c>
      <c r="L153" s="28"/>
      <c r="M153" s="173"/>
      <c r="N153" s="173"/>
      <c r="O153" s="185"/>
      <c r="P153" s="173"/>
      <c r="Q153" s="173"/>
      <c r="R153" s="185"/>
      <c r="S153" s="30"/>
      <c r="T153" s="13"/>
    </row>
    <row r="154" spans="2:21" ht="38.25" x14ac:dyDescent="0.2">
      <c r="B154" s="99" t="s">
        <v>190</v>
      </c>
      <c r="C154" s="7" t="s">
        <v>191</v>
      </c>
      <c r="D154" s="81">
        <v>0</v>
      </c>
      <c r="E154" s="3">
        <v>0</v>
      </c>
      <c r="F154" s="82">
        <v>0</v>
      </c>
      <c r="G154" s="25" t="s">
        <v>298</v>
      </c>
      <c r="H154" s="25" t="s">
        <v>20</v>
      </c>
      <c r="I154" s="38">
        <v>1</v>
      </c>
      <c r="J154" s="6">
        <v>1</v>
      </c>
      <c r="K154" s="3">
        <f t="shared" si="18"/>
        <v>100</v>
      </c>
      <c r="L154" s="28"/>
      <c r="M154" s="173"/>
      <c r="N154" s="173"/>
      <c r="O154" s="185"/>
      <c r="P154" s="173"/>
      <c r="Q154" s="173"/>
      <c r="R154" s="185"/>
      <c r="S154" s="30"/>
      <c r="T154" s="134">
        <v>9453205495</v>
      </c>
      <c r="U154" s="136">
        <v>8980140141.0400009</v>
      </c>
    </row>
    <row r="155" spans="2:21" ht="25.5" x14ac:dyDescent="0.2">
      <c r="B155" s="99" t="s">
        <v>192</v>
      </c>
      <c r="C155" s="7" t="s">
        <v>193</v>
      </c>
      <c r="D155" s="81">
        <v>1</v>
      </c>
      <c r="E155" s="3">
        <v>1</v>
      </c>
      <c r="F155" s="37">
        <f t="shared" si="17"/>
        <v>100</v>
      </c>
      <c r="G155" s="28" t="s">
        <v>437</v>
      </c>
      <c r="H155" s="25"/>
      <c r="I155" s="38">
        <v>1</v>
      </c>
      <c r="J155" s="6">
        <v>1</v>
      </c>
      <c r="K155" s="3">
        <f t="shared" si="18"/>
        <v>100</v>
      </c>
      <c r="L155" s="28"/>
      <c r="M155" s="173"/>
      <c r="N155" s="173"/>
      <c r="O155" s="185"/>
      <c r="P155" s="173"/>
      <c r="Q155" s="173"/>
      <c r="R155" s="185"/>
      <c r="S155" s="30"/>
      <c r="T155" s="13"/>
    </row>
    <row r="156" spans="2:21" ht="38.25" x14ac:dyDescent="0.2">
      <c r="B156" s="99" t="s">
        <v>194</v>
      </c>
      <c r="C156" s="7" t="s">
        <v>195</v>
      </c>
      <c r="D156" s="3">
        <v>0</v>
      </c>
      <c r="E156" s="3">
        <v>0</v>
      </c>
      <c r="F156" s="37">
        <v>0</v>
      </c>
      <c r="G156" s="25" t="s">
        <v>298</v>
      </c>
      <c r="H156" s="25" t="s">
        <v>298</v>
      </c>
      <c r="I156" s="38">
        <v>1</v>
      </c>
      <c r="J156" s="6">
        <v>1</v>
      </c>
      <c r="K156" s="3">
        <f t="shared" si="18"/>
        <v>100</v>
      </c>
      <c r="L156" s="28"/>
      <c r="M156" s="173"/>
      <c r="N156" s="173"/>
      <c r="O156" s="185"/>
      <c r="P156" s="173"/>
      <c r="Q156" s="173"/>
      <c r="R156" s="185"/>
      <c r="S156" s="30"/>
      <c r="T156" s="13"/>
    </row>
    <row r="157" spans="2:21" ht="38.25" x14ac:dyDescent="0.2">
      <c r="B157" s="99" t="s">
        <v>196</v>
      </c>
      <c r="C157" s="35" t="s">
        <v>197</v>
      </c>
      <c r="D157" s="81">
        <v>0</v>
      </c>
      <c r="E157" s="3">
        <v>0</v>
      </c>
      <c r="F157" s="37">
        <v>0</v>
      </c>
      <c r="G157" s="25" t="s">
        <v>298</v>
      </c>
      <c r="H157" s="25" t="s">
        <v>298</v>
      </c>
      <c r="I157" s="38">
        <v>1</v>
      </c>
      <c r="J157" s="6">
        <v>0</v>
      </c>
      <c r="K157" s="3">
        <f t="shared" si="18"/>
        <v>0</v>
      </c>
      <c r="L157" s="28"/>
      <c r="M157" s="173"/>
      <c r="N157" s="173"/>
      <c r="O157" s="185"/>
      <c r="P157" s="173"/>
      <c r="Q157" s="173"/>
      <c r="R157" s="185"/>
      <c r="S157" s="30"/>
      <c r="T157" s="13"/>
    </row>
    <row r="158" spans="2:21" ht="38.25" x14ac:dyDescent="0.2">
      <c r="B158" s="99" t="s">
        <v>198</v>
      </c>
      <c r="C158" s="35" t="s">
        <v>95</v>
      </c>
      <c r="D158" s="81">
        <v>1</v>
      </c>
      <c r="E158" s="3">
        <v>1</v>
      </c>
      <c r="F158" s="37">
        <f>(E158/D158)*100</f>
        <v>100</v>
      </c>
      <c r="G158" s="28" t="s">
        <v>438</v>
      </c>
      <c r="H158" s="25"/>
      <c r="I158" s="38">
        <v>1</v>
      </c>
      <c r="J158" s="6">
        <f>(0+E158)</f>
        <v>1</v>
      </c>
      <c r="K158" s="3">
        <f t="shared" si="18"/>
        <v>100</v>
      </c>
      <c r="L158" s="28"/>
      <c r="M158" s="173"/>
      <c r="N158" s="173"/>
      <c r="O158" s="185"/>
      <c r="P158" s="173"/>
      <c r="Q158" s="173"/>
      <c r="R158" s="185"/>
      <c r="S158" s="30"/>
      <c r="T158" s="13"/>
    </row>
    <row r="159" spans="2:21" ht="76.5" x14ac:dyDescent="0.2">
      <c r="B159" s="99" t="s">
        <v>199</v>
      </c>
      <c r="C159" s="35" t="s">
        <v>200</v>
      </c>
      <c r="D159" s="81">
        <v>100</v>
      </c>
      <c r="E159" s="3">
        <v>100</v>
      </c>
      <c r="F159" s="37">
        <f t="shared" si="17"/>
        <v>100</v>
      </c>
      <c r="G159" s="28" t="s">
        <v>439</v>
      </c>
      <c r="H159" s="25"/>
      <c r="I159" s="38">
        <v>400</v>
      </c>
      <c r="J159" s="6">
        <f>(300+E159)</f>
        <v>400</v>
      </c>
      <c r="K159" s="3">
        <f t="shared" si="18"/>
        <v>100</v>
      </c>
      <c r="L159" s="28"/>
      <c r="M159" s="173"/>
      <c r="N159" s="173"/>
      <c r="O159" s="185"/>
      <c r="P159" s="173"/>
      <c r="Q159" s="173"/>
      <c r="R159" s="185"/>
      <c r="S159" s="30"/>
      <c r="T159" s="13"/>
    </row>
    <row r="160" spans="2:21" ht="51" x14ac:dyDescent="0.2">
      <c r="B160" s="99" t="s">
        <v>201</v>
      </c>
      <c r="C160" s="5" t="s">
        <v>202</v>
      </c>
      <c r="D160" s="81">
        <v>0</v>
      </c>
      <c r="E160" s="3">
        <v>0</v>
      </c>
      <c r="F160" s="37">
        <v>0</v>
      </c>
      <c r="G160" s="25" t="s">
        <v>298</v>
      </c>
      <c r="H160" s="25" t="s">
        <v>20</v>
      </c>
      <c r="I160" s="38">
        <v>1</v>
      </c>
      <c r="J160" s="6">
        <v>1</v>
      </c>
      <c r="K160" s="3">
        <f t="shared" si="18"/>
        <v>100</v>
      </c>
      <c r="L160" s="28"/>
      <c r="M160" s="173"/>
      <c r="N160" s="173"/>
      <c r="O160" s="185"/>
      <c r="P160" s="173"/>
      <c r="Q160" s="173"/>
      <c r="R160" s="185"/>
      <c r="S160" s="30"/>
      <c r="T160" s="13"/>
    </row>
    <row r="161" spans="2:20" ht="38.25" x14ac:dyDescent="0.2">
      <c r="B161" s="99" t="s">
        <v>203</v>
      </c>
      <c r="C161" s="5" t="s">
        <v>204</v>
      </c>
      <c r="D161" s="3">
        <v>0</v>
      </c>
      <c r="E161" s="3">
        <v>0</v>
      </c>
      <c r="F161" s="37">
        <v>0</v>
      </c>
      <c r="G161" s="25" t="s">
        <v>298</v>
      </c>
      <c r="H161" s="25" t="s">
        <v>20</v>
      </c>
      <c r="I161" s="38">
        <v>1</v>
      </c>
      <c r="J161" s="6">
        <v>1</v>
      </c>
      <c r="K161" s="3">
        <f t="shared" si="18"/>
        <v>100</v>
      </c>
      <c r="L161" s="28"/>
      <c r="M161" s="173"/>
      <c r="N161" s="173"/>
      <c r="O161" s="185"/>
      <c r="P161" s="173"/>
      <c r="Q161" s="173"/>
      <c r="R161" s="185"/>
      <c r="S161" s="30"/>
      <c r="T161" s="13"/>
    </row>
    <row r="162" spans="2:20" ht="51" x14ac:dyDescent="0.2">
      <c r="B162" s="99" t="s">
        <v>205</v>
      </c>
      <c r="C162" s="7" t="s">
        <v>195</v>
      </c>
      <c r="D162" s="3">
        <v>1</v>
      </c>
      <c r="E162" s="3">
        <v>1</v>
      </c>
      <c r="F162" s="37">
        <f t="shared" si="17"/>
        <v>100</v>
      </c>
      <c r="G162" s="28"/>
      <c r="H162" s="25" t="s">
        <v>345</v>
      </c>
      <c r="I162" s="38">
        <v>4</v>
      </c>
      <c r="J162" s="6">
        <f>(3+E162)</f>
        <v>4</v>
      </c>
      <c r="K162" s="3">
        <f t="shared" si="18"/>
        <v>100</v>
      </c>
      <c r="L162" s="28"/>
      <c r="M162" s="173"/>
      <c r="N162" s="173"/>
      <c r="O162" s="185"/>
      <c r="P162" s="173"/>
      <c r="Q162" s="173"/>
      <c r="R162" s="185"/>
      <c r="S162" s="30"/>
      <c r="T162" s="13"/>
    </row>
    <row r="163" spans="2:20" ht="38.25" x14ac:dyDescent="0.2">
      <c r="B163" s="99" t="s">
        <v>206</v>
      </c>
      <c r="C163" s="5" t="s">
        <v>207</v>
      </c>
      <c r="D163" s="3">
        <v>1</v>
      </c>
      <c r="E163" s="3">
        <v>1</v>
      </c>
      <c r="F163" s="37">
        <f t="shared" si="17"/>
        <v>100</v>
      </c>
      <c r="G163" s="28" t="s">
        <v>354</v>
      </c>
      <c r="H163" s="25" t="s">
        <v>346</v>
      </c>
      <c r="I163" s="38">
        <v>4</v>
      </c>
      <c r="J163" s="6">
        <f t="shared" ref="J163:J169" si="19">(3+E163)</f>
        <v>4</v>
      </c>
      <c r="K163" s="3">
        <f t="shared" si="18"/>
        <v>100</v>
      </c>
      <c r="L163" s="28"/>
      <c r="M163" s="173"/>
      <c r="N163" s="173"/>
      <c r="O163" s="185"/>
      <c r="P163" s="173"/>
      <c r="Q163" s="173"/>
      <c r="R163" s="185"/>
      <c r="S163" s="30"/>
      <c r="T163" s="13"/>
    </row>
    <row r="164" spans="2:20" ht="38.25" x14ac:dyDescent="0.2">
      <c r="B164" s="99" t="s">
        <v>208</v>
      </c>
      <c r="C164" s="5" t="s">
        <v>209</v>
      </c>
      <c r="D164" s="3">
        <v>1</v>
      </c>
      <c r="E164" s="3">
        <v>1</v>
      </c>
      <c r="F164" s="37">
        <f t="shared" si="17"/>
        <v>100</v>
      </c>
      <c r="G164" s="28" t="s">
        <v>440</v>
      </c>
      <c r="H164" s="25"/>
      <c r="I164" s="38">
        <v>4</v>
      </c>
      <c r="J164" s="6">
        <f t="shared" si="19"/>
        <v>4</v>
      </c>
      <c r="K164" s="3">
        <f t="shared" si="18"/>
        <v>100</v>
      </c>
      <c r="L164" s="28"/>
      <c r="M164" s="173"/>
      <c r="N164" s="173"/>
      <c r="O164" s="185"/>
      <c r="P164" s="173"/>
      <c r="Q164" s="173"/>
      <c r="R164" s="185"/>
      <c r="S164" s="30"/>
      <c r="T164" s="13"/>
    </row>
    <row r="165" spans="2:20" ht="38.25" x14ac:dyDescent="0.2">
      <c r="B165" s="99" t="s">
        <v>210</v>
      </c>
      <c r="C165" s="5" t="s">
        <v>211</v>
      </c>
      <c r="D165" s="3">
        <v>1</v>
      </c>
      <c r="E165" s="3">
        <v>1</v>
      </c>
      <c r="F165" s="37">
        <f t="shared" si="17"/>
        <v>100</v>
      </c>
      <c r="G165" s="28" t="s">
        <v>441</v>
      </c>
      <c r="H165" s="25" t="s">
        <v>442</v>
      </c>
      <c r="I165" s="38">
        <v>4</v>
      </c>
      <c r="J165" s="6">
        <f t="shared" si="19"/>
        <v>4</v>
      </c>
      <c r="K165" s="3">
        <f t="shared" si="18"/>
        <v>100</v>
      </c>
      <c r="L165" s="28"/>
      <c r="M165" s="173"/>
      <c r="N165" s="173"/>
      <c r="O165" s="185"/>
      <c r="P165" s="173"/>
      <c r="Q165" s="173"/>
      <c r="R165" s="185"/>
      <c r="S165" s="30"/>
      <c r="T165" s="13"/>
    </row>
    <row r="166" spans="2:20" ht="25.5" x14ac:dyDescent="0.2">
      <c r="B166" s="99" t="s">
        <v>212</v>
      </c>
      <c r="C166" s="5" t="s">
        <v>211</v>
      </c>
      <c r="D166" s="81">
        <v>1</v>
      </c>
      <c r="E166" s="3">
        <v>1</v>
      </c>
      <c r="F166" s="37">
        <f t="shared" si="17"/>
        <v>100</v>
      </c>
      <c r="G166" s="28"/>
      <c r="H166" s="28"/>
      <c r="I166" s="38">
        <v>4</v>
      </c>
      <c r="J166" s="6">
        <f t="shared" si="19"/>
        <v>4</v>
      </c>
      <c r="K166" s="3">
        <f t="shared" si="18"/>
        <v>100</v>
      </c>
      <c r="L166" s="28"/>
      <c r="M166" s="173"/>
      <c r="N166" s="173"/>
      <c r="O166" s="185"/>
      <c r="P166" s="173"/>
      <c r="Q166" s="173"/>
      <c r="R166" s="185"/>
      <c r="S166" s="30"/>
      <c r="T166" s="13"/>
    </row>
    <row r="167" spans="2:20" ht="38.25" x14ac:dyDescent="0.2">
      <c r="B167" s="99" t="s">
        <v>213</v>
      </c>
      <c r="C167" s="5" t="s">
        <v>214</v>
      </c>
      <c r="D167" s="81">
        <v>1</v>
      </c>
      <c r="E167" s="3">
        <v>1</v>
      </c>
      <c r="F167" s="37">
        <f t="shared" si="17"/>
        <v>100</v>
      </c>
      <c r="G167" s="28"/>
      <c r="H167" s="28"/>
      <c r="I167" s="38">
        <v>4</v>
      </c>
      <c r="J167" s="6">
        <f t="shared" si="19"/>
        <v>4</v>
      </c>
      <c r="K167" s="3">
        <f t="shared" si="18"/>
        <v>100</v>
      </c>
      <c r="L167" s="28"/>
      <c r="M167" s="173"/>
      <c r="N167" s="173"/>
      <c r="O167" s="185"/>
      <c r="P167" s="173"/>
      <c r="Q167" s="173"/>
      <c r="R167" s="185"/>
      <c r="S167" s="30"/>
      <c r="T167" s="13"/>
    </row>
    <row r="168" spans="2:20" ht="38.25" x14ac:dyDescent="0.2">
      <c r="B168" s="99" t="s">
        <v>215</v>
      </c>
      <c r="C168" s="5" t="s">
        <v>211</v>
      </c>
      <c r="D168" s="81">
        <v>1</v>
      </c>
      <c r="E168" s="3">
        <v>1</v>
      </c>
      <c r="F168" s="37">
        <f t="shared" si="17"/>
        <v>100</v>
      </c>
      <c r="G168" s="28"/>
      <c r="H168" s="28"/>
      <c r="I168" s="38">
        <v>4</v>
      </c>
      <c r="J168" s="6">
        <f t="shared" si="19"/>
        <v>4</v>
      </c>
      <c r="K168" s="3">
        <f t="shared" si="18"/>
        <v>100</v>
      </c>
      <c r="L168" s="28"/>
      <c r="M168" s="173"/>
      <c r="N168" s="173"/>
      <c r="O168" s="185"/>
      <c r="P168" s="173"/>
      <c r="Q168" s="173"/>
      <c r="R168" s="185"/>
      <c r="S168" s="30"/>
      <c r="T168" s="13"/>
    </row>
    <row r="169" spans="2:20" ht="72.75" customHeight="1" x14ac:dyDescent="0.2">
      <c r="B169" s="99" t="s">
        <v>216</v>
      </c>
      <c r="C169" s="5" t="s">
        <v>217</v>
      </c>
      <c r="D169" s="81">
        <v>1</v>
      </c>
      <c r="E169" s="3">
        <v>1</v>
      </c>
      <c r="F169" s="37">
        <f t="shared" si="17"/>
        <v>100</v>
      </c>
      <c r="G169" s="46"/>
      <c r="H169" s="46"/>
      <c r="I169" s="38">
        <v>4</v>
      </c>
      <c r="J169" s="6">
        <f t="shared" si="19"/>
        <v>4</v>
      </c>
      <c r="K169" s="3">
        <f t="shared" si="18"/>
        <v>100</v>
      </c>
      <c r="L169" s="28"/>
      <c r="M169" s="173"/>
      <c r="N169" s="173"/>
      <c r="O169" s="185"/>
      <c r="P169" s="173"/>
      <c r="Q169" s="173"/>
      <c r="R169" s="185"/>
      <c r="S169" s="30"/>
      <c r="T169" s="13"/>
    </row>
    <row r="170" spans="2:20" x14ac:dyDescent="0.2">
      <c r="B170" s="178" t="s">
        <v>218</v>
      </c>
      <c r="C170" s="5" t="s">
        <v>219</v>
      </c>
      <c r="D170" s="81">
        <v>1</v>
      </c>
      <c r="E170" s="3">
        <v>1</v>
      </c>
      <c r="F170" s="82">
        <f>(E170/D120)*100</f>
        <v>100</v>
      </c>
      <c r="G170" s="28" t="s">
        <v>20</v>
      </c>
      <c r="H170" s="189" t="s">
        <v>347</v>
      </c>
      <c r="I170" s="38">
        <v>1</v>
      </c>
      <c r="J170" s="6">
        <f>(0+E170)</f>
        <v>1</v>
      </c>
      <c r="K170" s="3">
        <f t="shared" si="18"/>
        <v>100</v>
      </c>
      <c r="L170" s="28"/>
      <c r="M170" s="173"/>
      <c r="N170" s="173"/>
      <c r="O170" s="185"/>
      <c r="P170" s="173"/>
      <c r="Q170" s="173"/>
      <c r="R170" s="185"/>
      <c r="S170" s="30"/>
      <c r="T170" s="13"/>
    </row>
    <row r="171" spans="2:20" x14ac:dyDescent="0.2">
      <c r="B171" s="178"/>
      <c r="C171" s="5" t="s">
        <v>220</v>
      </c>
      <c r="D171" s="3">
        <v>1</v>
      </c>
      <c r="E171" s="3">
        <v>1</v>
      </c>
      <c r="F171" s="82">
        <f>(E171/D171)*100</f>
        <v>100</v>
      </c>
      <c r="G171" s="28" t="s">
        <v>20</v>
      </c>
      <c r="H171" s="189"/>
      <c r="I171" s="38">
        <v>1</v>
      </c>
      <c r="J171" s="6">
        <f>(0+E171)</f>
        <v>1</v>
      </c>
      <c r="K171" s="3">
        <f t="shared" si="18"/>
        <v>100</v>
      </c>
      <c r="L171" s="28"/>
      <c r="M171" s="173"/>
      <c r="N171" s="173"/>
      <c r="O171" s="185"/>
      <c r="P171" s="173"/>
      <c r="Q171" s="173"/>
      <c r="R171" s="185"/>
      <c r="S171" s="30"/>
      <c r="T171" s="13"/>
    </row>
    <row r="172" spans="2:20" x14ac:dyDescent="0.2">
      <c r="B172" s="99" t="s">
        <v>295</v>
      </c>
      <c r="C172" s="28"/>
      <c r="D172" s="58">
        <v>2100</v>
      </c>
      <c r="E172" s="58"/>
      <c r="F172" s="58">
        <f>SUM(F143:F171)</f>
        <v>2100</v>
      </c>
      <c r="G172" s="59">
        <f>F172/D172*100</f>
        <v>100</v>
      </c>
      <c r="H172" s="28"/>
      <c r="I172" s="64">
        <v>2900</v>
      </c>
      <c r="J172" s="66"/>
      <c r="K172" s="64">
        <f>SUM(K143:K171)</f>
        <v>2800</v>
      </c>
      <c r="L172" s="64">
        <f>K172/I172*100</f>
        <v>96.551724137931032</v>
      </c>
      <c r="M172" s="30"/>
      <c r="N172" s="30"/>
      <c r="O172" s="30"/>
      <c r="P172" s="30"/>
      <c r="Q172" s="30"/>
      <c r="R172" s="30"/>
      <c r="S172" s="30"/>
      <c r="T172" s="13"/>
    </row>
    <row r="173" spans="2:20" ht="25.5" x14ac:dyDescent="0.2">
      <c r="B173" s="102" t="s">
        <v>348</v>
      </c>
      <c r="C173" s="28"/>
      <c r="D173" s="29"/>
      <c r="E173" s="29"/>
      <c r="F173" s="29"/>
      <c r="G173" s="28"/>
      <c r="H173" s="28"/>
      <c r="I173" s="28"/>
      <c r="J173" s="6"/>
      <c r="K173" s="28"/>
      <c r="L173" s="28"/>
      <c r="M173" s="30"/>
      <c r="N173" s="30"/>
      <c r="O173" s="30"/>
      <c r="P173" s="30"/>
      <c r="Q173" s="30"/>
      <c r="R173" s="30"/>
      <c r="S173" s="30"/>
      <c r="T173" s="13"/>
    </row>
    <row r="174" spans="2:20" ht="39" customHeight="1" x14ac:dyDescent="0.2">
      <c r="B174" s="99" t="s">
        <v>349</v>
      </c>
      <c r="C174" s="28"/>
      <c r="D174" s="29"/>
      <c r="E174" s="29"/>
      <c r="F174" s="29"/>
      <c r="G174" s="28"/>
      <c r="H174" s="28"/>
      <c r="I174" s="28"/>
      <c r="J174" s="6"/>
      <c r="K174" s="28"/>
      <c r="L174" s="28"/>
      <c r="M174" s="30"/>
      <c r="N174" s="30"/>
      <c r="O174" s="30"/>
      <c r="P174" s="30"/>
      <c r="Q174" s="30"/>
      <c r="R174" s="30"/>
      <c r="S174" s="30"/>
      <c r="T174" s="13"/>
    </row>
    <row r="175" spans="2:20" ht="63.75" x14ac:dyDescent="0.2">
      <c r="B175" s="99" t="s">
        <v>221</v>
      </c>
      <c r="C175" s="7" t="s">
        <v>222</v>
      </c>
      <c r="D175" s="3">
        <v>5</v>
      </c>
      <c r="E175" s="3">
        <v>5</v>
      </c>
      <c r="F175" s="82">
        <f t="shared" ref="F175:F187" si="20">(E175/D175)*100</f>
        <v>100</v>
      </c>
      <c r="G175" s="28"/>
      <c r="H175" s="28"/>
      <c r="I175" s="36">
        <v>21</v>
      </c>
      <c r="J175" s="6">
        <f>(40+E175)</f>
        <v>45</v>
      </c>
      <c r="K175" s="82">
        <v>100</v>
      </c>
      <c r="L175" s="28"/>
      <c r="M175" s="186">
        <v>1200000000</v>
      </c>
      <c r="N175" s="187">
        <v>1186851171.7</v>
      </c>
      <c r="O175" s="190">
        <f>(N175/M175)*100</f>
        <v>98.904264308333339</v>
      </c>
      <c r="P175" s="186">
        <v>3015270816.4000001</v>
      </c>
      <c r="Q175" s="187">
        <f>(N175+1772253622.39)</f>
        <v>2959104794.0900002</v>
      </c>
      <c r="R175" s="190">
        <f>(Q175/P175)*100</f>
        <v>98.137281002936319</v>
      </c>
      <c r="S175" s="30"/>
      <c r="T175" s="13"/>
    </row>
    <row r="176" spans="2:20" ht="63.75" x14ac:dyDescent="0.2">
      <c r="B176" s="99" t="s">
        <v>223</v>
      </c>
      <c r="C176" s="7" t="s">
        <v>224</v>
      </c>
      <c r="D176" s="3">
        <v>12</v>
      </c>
      <c r="E176" s="3">
        <v>12</v>
      </c>
      <c r="F176" s="82">
        <f t="shared" si="20"/>
        <v>100</v>
      </c>
      <c r="G176" s="28" t="s">
        <v>443</v>
      </c>
      <c r="H176" s="28"/>
      <c r="I176" s="36">
        <v>52</v>
      </c>
      <c r="J176" s="6">
        <f>(16+E176)</f>
        <v>28</v>
      </c>
      <c r="K176" s="82">
        <f t="shared" ref="K176:K187" si="21">(J176/I176)*100</f>
        <v>53.846153846153847</v>
      </c>
      <c r="L176" s="28"/>
      <c r="M176" s="186"/>
      <c r="N176" s="187"/>
      <c r="O176" s="190"/>
      <c r="P176" s="186"/>
      <c r="Q176" s="187"/>
      <c r="R176" s="190"/>
      <c r="S176" s="30"/>
      <c r="T176" s="13"/>
    </row>
    <row r="177" spans="2:21" ht="63.75" x14ac:dyDescent="0.2">
      <c r="B177" s="99" t="s">
        <v>225</v>
      </c>
      <c r="C177" s="7" t="s">
        <v>226</v>
      </c>
      <c r="D177" s="3">
        <v>1</v>
      </c>
      <c r="E177" s="81">
        <v>1</v>
      </c>
      <c r="F177" s="82">
        <f t="shared" si="20"/>
        <v>100</v>
      </c>
      <c r="G177" s="46"/>
      <c r="H177" s="28"/>
      <c r="I177" s="36">
        <v>1</v>
      </c>
      <c r="J177" s="6">
        <f>(1+E177)</f>
        <v>2</v>
      </c>
      <c r="K177" s="82">
        <v>100</v>
      </c>
      <c r="L177" s="28"/>
      <c r="M177" s="186"/>
      <c r="N177" s="187"/>
      <c r="O177" s="190"/>
      <c r="P177" s="186"/>
      <c r="Q177" s="187"/>
      <c r="R177" s="190"/>
      <c r="S177" s="30"/>
      <c r="T177" s="13"/>
    </row>
    <row r="178" spans="2:21" ht="114" customHeight="1" x14ac:dyDescent="0.2">
      <c r="B178" s="99" t="s">
        <v>227</v>
      </c>
      <c r="C178" s="35" t="s">
        <v>228</v>
      </c>
      <c r="D178" s="3">
        <v>1</v>
      </c>
      <c r="E178" s="81">
        <v>1</v>
      </c>
      <c r="F178" s="82">
        <f t="shared" si="20"/>
        <v>100</v>
      </c>
      <c r="G178" s="28" t="s">
        <v>355</v>
      </c>
      <c r="H178" s="28"/>
      <c r="I178" s="36">
        <v>1</v>
      </c>
      <c r="J178" s="6">
        <f>(1+E178)</f>
        <v>2</v>
      </c>
      <c r="K178" s="82">
        <v>100</v>
      </c>
      <c r="L178" s="28"/>
      <c r="M178" s="186"/>
      <c r="N178" s="187"/>
      <c r="O178" s="190"/>
      <c r="P178" s="186"/>
      <c r="Q178" s="187"/>
      <c r="R178" s="190"/>
      <c r="S178" s="30"/>
      <c r="T178" s="13"/>
    </row>
    <row r="179" spans="2:21" ht="38.25" x14ac:dyDescent="0.2">
      <c r="B179" s="99" t="s">
        <v>229</v>
      </c>
      <c r="C179" s="35" t="s">
        <v>230</v>
      </c>
      <c r="D179" s="3">
        <v>4</v>
      </c>
      <c r="E179" s="3">
        <v>4</v>
      </c>
      <c r="F179" s="82">
        <f t="shared" si="20"/>
        <v>100</v>
      </c>
      <c r="G179" s="28" t="s">
        <v>403</v>
      </c>
      <c r="H179" s="23"/>
      <c r="I179" s="36">
        <v>16</v>
      </c>
      <c r="J179" s="6">
        <f>(12+E179)</f>
        <v>16</v>
      </c>
      <c r="K179" s="82">
        <f t="shared" si="21"/>
        <v>100</v>
      </c>
      <c r="L179" s="28"/>
      <c r="M179" s="186"/>
      <c r="N179" s="187"/>
      <c r="O179" s="190"/>
      <c r="P179" s="186"/>
      <c r="Q179" s="187"/>
      <c r="R179" s="190"/>
      <c r="S179" s="30"/>
      <c r="T179" s="13"/>
    </row>
    <row r="180" spans="2:21" ht="63.75" x14ac:dyDescent="0.2">
      <c r="B180" s="99" t="s">
        <v>231</v>
      </c>
      <c r="C180" s="35" t="s">
        <v>232</v>
      </c>
      <c r="D180" s="3">
        <v>1</v>
      </c>
      <c r="E180" s="3">
        <v>1</v>
      </c>
      <c r="F180" s="82">
        <f t="shared" si="20"/>
        <v>100</v>
      </c>
      <c r="G180" s="28" t="s">
        <v>444</v>
      </c>
      <c r="H180" s="23"/>
      <c r="I180" s="36">
        <v>4</v>
      </c>
      <c r="J180" s="6">
        <f>(3+E180)</f>
        <v>4</v>
      </c>
      <c r="K180" s="82">
        <f t="shared" si="21"/>
        <v>100</v>
      </c>
      <c r="L180" s="28"/>
      <c r="M180" s="186"/>
      <c r="N180" s="187"/>
      <c r="O180" s="190"/>
      <c r="P180" s="186"/>
      <c r="Q180" s="187"/>
      <c r="R180" s="190"/>
      <c r="S180" s="30"/>
      <c r="T180" s="134">
        <v>3015270816.4000001</v>
      </c>
      <c r="U180" s="136">
        <v>2959104794.0900002</v>
      </c>
    </row>
    <row r="181" spans="2:21" ht="72.75" customHeight="1" x14ac:dyDescent="0.2">
      <c r="B181" s="99" t="s">
        <v>233</v>
      </c>
      <c r="C181" s="40" t="s">
        <v>234</v>
      </c>
      <c r="D181" s="3">
        <v>1</v>
      </c>
      <c r="E181" s="3">
        <v>1</v>
      </c>
      <c r="F181" s="82">
        <f t="shared" si="20"/>
        <v>100</v>
      </c>
      <c r="G181" s="46"/>
      <c r="H181" s="25"/>
      <c r="I181" s="36">
        <v>4</v>
      </c>
      <c r="J181" s="6">
        <f t="shared" ref="J181:J183" si="22">(3+E181)</f>
        <v>4</v>
      </c>
      <c r="K181" s="82">
        <f t="shared" si="21"/>
        <v>100</v>
      </c>
      <c r="L181" s="28"/>
      <c r="M181" s="186"/>
      <c r="N181" s="187"/>
      <c r="O181" s="190"/>
      <c r="P181" s="186"/>
      <c r="Q181" s="187"/>
      <c r="R181" s="190"/>
      <c r="S181" s="30"/>
      <c r="T181" s="13"/>
    </row>
    <row r="182" spans="2:21" ht="38.25" x14ac:dyDescent="0.2">
      <c r="B182" s="99" t="s">
        <v>235</v>
      </c>
      <c r="C182" s="7" t="s">
        <v>234</v>
      </c>
      <c r="D182" s="3">
        <v>1</v>
      </c>
      <c r="E182" s="3">
        <v>1</v>
      </c>
      <c r="F182" s="82">
        <f t="shared" si="20"/>
        <v>100</v>
      </c>
      <c r="G182" s="28" t="s">
        <v>403</v>
      </c>
      <c r="H182" s="23"/>
      <c r="I182" s="36">
        <v>4</v>
      </c>
      <c r="J182" s="6">
        <f t="shared" si="22"/>
        <v>4</v>
      </c>
      <c r="K182" s="82">
        <f t="shared" si="21"/>
        <v>100</v>
      </c>
      <c r="L182" s="28"/>
      <c r="M182" s="186"/>
      <c r="N182" s="187"/>
      <c r="O182" s="190"/>
      <c r="P182" s="186"/>
      <c r="Q182" s="187"/>
      <c r="R182" s="190"/>
      <c r="S182" s="30"/>
      <c r="T182" s="13"/>
    </row>
    <row r="183" spans="2:21" ht="38.25" x14ac:dyDescent="0.2">
      <c r="B183" s="99" t="s">
        <v>236</v>
      </c>
      <c r="C183" s="7" t="s">
        <v>234</v>
      </c>
      <c r="D183" s="3">
        <v>1</v>
      </c>
      <c r="E183" s="3">
        <v>1</v>
      </c>
      <c r="F183" s="82">
        <f t="shared" si="20"/>
        <v>100</v>
      </c>
      <c r="G183" s="28" t="s">
        <v>445</v>
      </c>
      <c r="H183" s="23"/>
      <c r="I183" s="36">
        <v>4</v>
      </c>
      <c r="J183" s="6">
        <f t="shared" si="22"/>
        <v>4</v>
      </c>
      <c r="K183" s="82">
        <f t="shared" si="21"/>
        <v>100</v>
      </c>
      <c r="L183" s="28"/>
      <c r="M183" s="186"/>
      <c r="N183" s="187"/>
      <c r="O183" s="190"/>
      <c r="P183" s="186"/>
      <c r="Q183" s="187"/>
      <c r="R183" s="190"/>
      <c r="S183" s="30"/>
      <c r="T183" s="13"/>
    </row>
    <row r="184" spans="2:21" ht="63.75" x14ac:dyDescent="0.2">
      <c r="B184" s="99" t="s">
        <v>237</v>
      </c>
      <c r="C184" s="40" t="s">
        <v>238</v>
      </c>
      <c r="D184" s="3">
        <v>1</v>
      </c>
      <c r="E184" s="3">
        <v>1</v>
      </c>
      <c r="F184" s="82">
        <f t="shared" si="20"/>
        <v>100</v>
      </c>
      <c r="G184" s="28" t="s">
        <v>403</v>
      </c>
      <c r="H184" s="23"/>
      <c r="I184" s="36">
        <v>4</v>
      </c>
      <c r="J184" s="6">
        <f>(3+E184)</f>
        <v>4</v>
      </c>
      <c r="K184" s="82">
        <f t="shared" si="21"/>
        <v>100</v>
      </c>
      <c r="L184" s="28"/>
      <c r="M184" s="186"/>
      <c r="N184" s="187"/>
      <c r="O184" s="190"/>
      <c r="P184" s="186"/>
      <c r="Q184" s="187"/>
      <c r="R184" s="190"/>
      <c r="S184" s="30"/>
      <c r="T184" s="13"/>
    </row>
    <row r="185" spans="2:21" ht="76.5" x14ac:dyDescent="0.2">
      <c r="B185" s="99" t="s">
        <v>239</v>
      </c>
      <c r="C185" s="40" t="s">
        <v>240</v>
      </c>
      <c r="D185" s="3">
        <v>5</v>
      </c>
      <c r="E185" s="3">
        <v>5</v>
      </c>
      <c r="F185" s="82">
        <f t="shared" si="20"/>
        <v>100</v>
      </c>
      <c r="G185" s="28" t="s">
        <v>403</v>
      </c>
      <c r="H185" s="23"/>
      <c r="I185" s="36">
        <v>20</v>
      </c>
      <c r="J185" s="6">
        <f>(15+E185)</f>
        <v>20</v>
      </c>
      <c r="K185" s="82">
        <f t="shared" si="21"/>
        <v>100</v>
      </c>
      <c r="L185" s="28"/>
      <c r="M185" s="186"/>
      <c r="N185" s="187"/>
      <c r="O185" s="190"/>
      <c r="P185" s="186"/>
      <c r="Q185" s="187"/>
      <c r="R185" s="190"/>
      <c r="S185" s="30"/>
      <c r="T185" s="13"/>
    </row>
    <row r="186" spans="2:21" ht="38.25" x14ac:dyDescent="0.2">
      <c r="B186" s="99" t="s">
        <v>241</v>
      </c>
      <c r="C186" s="40" t="s">
        <v>242</v>
      </c>
      <c r="D186" s="3">
        <v>5</v>
      </c>
      <c r="E186" s="3">
        <v>5</v>
      </c>
      <c r="F186" s="82">
        <f t="shared" si="20"/>
        <v>100</v>
      </c>
      <c r="G186" s="28" t="s">
        <v>446</v>
      </c>
      <c r="H186" s="25"/>
      <c r="I186" s="36">
        <v>20</v>
      </c>
      <c r="J186" s="6">
        <f>(16+E186)</f>
        <v>21</v>
      </c>
      <c r="K186" s="82">
        <v>100</v>
      </c>
      <c r="L186" s="28"/>
      <c r="M186" s="186"/>
      <c r="N186" s="187"/>
      <c r="O186" s="190"/>
      <c r="P186" s="186"/>
      <c r="Q186" s="187"/>
      <c r="R186" s="190"/>
      <c r="S186" s="30"/>
      <c r="T186" s="13"/>
    </row>
    <row r="187" spans="2:21" ht="38.25" x14ac:dyDescent="0.2">
      <c r="B187" s="99" t="s">
        <v>243</v>
      </c>
      <c r="C187" s="23" t="s">
        <v>244</v>
      </c>
      <c r="D187" s="3">
        <v>1</v>
      </c>
      <c r="E187" s="3">
        <v>1</v>
      </c>
      <c r="F187" s="82">
        <f t="shared" si="20"/>
        <v>100</v>
      </c>
      <c r="G187" s="28" t="s">
        <v>403</v>
      </c>
      <c r="H187" s="23"/>
      <c r="I187" s="36">
        <v>4</v>
      </c>
      <c r="J187" s="6">
        <f>(3+E187)</f>
        <v>4</v>
      </c>
      <c r="K187" s="82">
        <f t="shared" si="21"/>
        <v>100</v>
      </c>
      <c r="L187" s="28"/>
      <c r="M187" s="186"/>
      <c r="N187" s="187"/>
      <c r="O187" s="190"/>
      <c r="P187" s="186"/>
      <c r="Q187" s="187"/>
      <c r="R187" s="190"/>
      <c r="S187" s="30"/>
      <c r="T187" s="13"/>
    </row>
    <row r="188" spans="2:21" x14ac:dyDescent="0.2">
      <c r="B188" s="99" t="s">
        <v>295</v>
      </c>
      <c r="C188" s="28"/>
      <c r="D188" s="58">
        <v>1300</v>
      </c>
      <c r="E188" s="58"/>
      <c r="F188" s="58">
        <f>SUM(F175:F187)</f>
        <v>1300</v>
      </c>
      <c r="G188" s="59">
        <f>F188/D188*100</f>
        <v>100</v>
      </c>
      <c r="H188" s="28"/>
      <c r="I188" s="64">
        <v>1300</v>
      </c>
      <c r="J188" s="66"/>
      <c r="K188" s="64">
        <f>SUM(K175:K187)</f>
        <v>1253.8461538461538</v>
      </c>
      <c r="L188" s="64">
        <f>K188/I188*100</f>
        <v>96.449704142011825</v>
      </c>
      <c r="M188" s="30"/>
      <c r="N188" s="30"/>
      <c r="O188" s="30"/>
      <c r="P188" s="30"/>
      <c r="Q188" s="30"/>
      <c r="R188" s="30"/>
      <c r="S188" s="30"/>
      <c r="T188" s="13"/>
    </row>
    <row r="189" spans="2:21" ht="51" x14ac:dyDescent="0.2">
      <c r="B189" s="99" t="s">
        <v>350</v>
      </c>
      <c r="C189" s="28"/>
      <c r="D189" s="29"/>
      <c r="E189" s="29"/>
      <c r="F189" s="29"/>
      <c r="G189" s="28"/>
      <c r="H189" s="28"/>
      <c r="I189" s="28"/>
      <c r="J189" s="6"/>
      <c r="K189" s="28"/>
      <c r="L189" s="28"/>
      <c r="M189" s="30"/>
      <c r="N189" s="30"/>
      <c r="O189" s="30"/>
      <c r="P189" s="30"/>
      <c r="Q189" s="30"/>
      <c r="R189" s="30"/>
      <c r="S189" s="30"/>
      <c r="T189" s="13"/>
    </row>
    <row r="190" spans="2:21" ht="29.25" customHeight="1" x14ac:dyDescent="0.2">
      <c r="B190" s="178" t="s">
        <v>245</v>
      </c>
      <c r="C190" s="23" t="s">
        <v>35</v>
      </c>
      <c r="D190" s="81">
        <v>1</v>
      </c>
      <c r="E190" s="81">
        <v>1</v>
      </c>
      <c r="F190" s="82">
        <f t="shared" ref="F190:F199" si="23">(E190/D190)*100</f>
        <v>100</v>
      </c>
      <c r="G190" s="28" t="s">
        <v>447</v>
      </c>
      <c r="H190" s="28"/>
      <c r="I190" s="36">
        <v>1</v>
      </c>
      <c r="J190" s="6">
        <v>1</v>
      </c>
      <c r="K190" s="82">
        <f>(J190/I190)*100</f>
        <v>100</v>
      </c>
      <c r="L190" s="28"/>
      <c r="M190" s="186">
        <v>1960000000</v>
      </c>
      <c r="N190" s="186">
        <v>1883548184</v>
      </c>
      <c r="O190" s="186">
        <f>(N190/M190)*100</f>
        <v>96.099397142857143</v>
      </c>
      <c r="P190" s="186">
        <v>4703805891.8000002</v>
      </c>
      <c r="Q190" s="186">
        <f>(N190+2638962188.38)</f>
        <v>4522510372.3800001</v>
      </c>
      <c r="R190" s="186">
        <f>(Q190/P190)*100</f>
        <v>96.145769540872266</v>
      </c>
      <c r="S190" s="30"/>
      <c r="T190" s="13"/>
    </row>
    <row r="191" spans="2:21" ht="46.5" customHeight="1" x14ac:dyDescent="0.2">
      <c r="B191" s="178"/>
      <c r="C191" s="23" t="s">
        <v>95</v>
      </c>
      <c r="D191" s="81">
        <v>6</v>
      </c>
      <c r="E191" s="81">
        <v>6</v>
      </c>
      <c r="F191" s="82">
        <f t="shared" si="23"/>
        <v>100</v>
      </c>
      <c r="G191" s="28" t="s">
        <v>447</v>
      </c>
      <c r="H191" s="28"/>
      <c r="I191" s="36">
        <v>21</v>
      </c>
      <c r="J191" s="6">
        <f>(15+E191)</f>
        <v>21</v>
      </c>
      <c r="K191" s="82">
        <f t="shared" ref="K191:K201" si="24">(J191/I191)*100</f>
        <v>100</v>
      </c>
      <c r="L191" s="28"/>
      <c r="M191" s="186"/>
      <c r="N191" s="186"/>
      <c r="O191" s="186"/>
      <c r="P191" s="186"/>
      <c r="Q191" s="186"/>
      <c r="R191" s="186"/>
      <c r="S191" s="30"/>
      <c r="T191" s="13"/>
    </row>
    <row r="192" spans="2:21" ht="38.25" x14ac:dyDescent="0.2">
      <c r="B192" s="99" t="s">
        <v>246</v>
      </c>
      <c r="C192" s="23" t="s">
        <v>247</v>
      </c>
      <c r="D192" s="81">
        <v>21</v>
      </c>
      <c r="E192" s="81">
        <v>21</v>
      </c>
      <c r="F192" s="82">
        <f t="shared" si="23"/>
        <v>100</v>
      </c>
      <c r="G192" s="28" t="s">
        <v>448</v>
      </c>
      <c r="H192" s="28"/>
      <c r="I192" s="36">
        <v>21</v>
      </c>
      <c r="J192" s="6">
        <v>21</v>
      </c>
      <c r="K192" s="82">
        <f t="shared" si="24"/>
        <v>100</v>
      </c>
      <c r="L192" s="28"/>
      <c r="M192" s="186"/>
      <c r="N192" s="186"/>
      <c r="O192" s="186"/>
      <c r="P192" s="186"/>
      <c r="Q192" s="186"/>
      <c r="R192" s="186"/>
      <c r="S192" s="30"/>
      <c r="T192" s="13"/>
    </row>
    <row r="193" spans="2:21" ht="51" customHeight="1" x14ac:dyDescent="0.2">
      <c r="B193" s="99" t="s">
        <v>248</v>
      </c>
      <c r="C193" s="23" t="s">
        <v>249</v>
      </c>
      <c r="D193" s="81">
        <v>1</v>
      </c>
      <c r="E193" s="81">
        <v>1</v>
      </c>
      <c r="F193" s="82">
        <f t="shared" si="23"/>
        <v>100</v>
      </c>
      <c r="G193" s="28" t="s">
        <v>449</v>
      </c>
      <c r="H193" s="88"/>
      <c r="I193" s="36">
        <v>4</v>
      </c>
      <c r="J193" s="6">
        <f>(3+E193)</f>
        <v>4</v>
      </c>
      <c r="K193" s="82">
        <f t="shared" si="24"/>
        <v>100</v>
      </c>
      <c r="L193" s="28"/>
      <c r="M193" s="186"/>
      <c r="N193" s="186"/>
      <c r="O193" s="186"/>
      <c r="P193" s="186"/>
      <c r="Q193" s="186"/>
      <c r="R193" s="186"/>
      <c r="S193" s="30"/>
      <c r="T193" s="13"/>
    </row>
    <row r="194" spans="2:21" ht="38.25" x14ac:dyDescent="0.2">
      <c r="B194" s="99" t="s">
        <v>250</v>
      </c>
      <c r="C194" s="7" t="s">
        <v>35</v>
      </c>
      <c r="D194" s="81">
        <v>1</v>
      </c>
      <c r="E194" s="81">
        <v>1</v>
      </c>
      <c r="F194" s="82">
        <f t="shared" si="23"/>
        <v>100</v>
      </c>
      <c r="G194" s="28" t="s">
        <v>447</v>
      </c>
      <c r="H194" s="28"/>
      <c r="I194" s="36">
        <v>1</v>
      </c>
      <c r="J194" s="6">
        <v>1</v>
      </c>
      <c r="K194" s="82">
        <f t="shared" si="24"/>
        <v>100</v>
      </c>
      <c r="L194" s="28"/>
      <c r="M194" s="186"/>
      <c r="N194" s="186"/>
      <c r="O194" s="186"/>
      <c r="P194" s="186"/>
      <c r="Q194" s="186"/>
      <c r="R194" s="186"/>
      <c r="S194" s="30"/>
      <c r="T194" s="13"/>
    </row>
    <row r="195" spans="2:21" ht="51" x14ac:dyDescent="0.2">
      <c r="B195" s="99" t="s">
        <v>251</v>
      </c>
      <c r="C195" s="23" t="s">
        <v>252</v>
      </c>
      <c r="D195" s="81">
        <v>1</v>
      </c>
      <c r="E195" s="81">
        <v>1</v>
      </c>
      <c r="F195" s="82">
        <f t="shared" si="23"/>
        <v>100</v>
      </c>
      <c r="G195" s="28" t="s">
        <v>450</v>
      </c>
      <c r="H195" s="25"/>
      <c r="I195" s="36">
        <v>1</v>
      </c>
      <c r="J195" s="6">
        <v>1</v>
      </c>
      <c r="K195" s="82">
        <f t="shared" si="24"/>
        <v>100</v>
      </c>
      <c r="L195" s="28"/>
      <c r="M195" s="186"/>
      <c r="N195" s="186"/>
      <c r="O195" s="186"/>
      <c r="P195" s="186"/>
      <c r="Q195" s="186"/>
      <c r="R195" s="186"/>
      <c r="S195" s="30"/>
      <c r="T195" s="134">
        <v>4703805891.8000002</v>
      </c>
      <c r="U195" s="136">
        <v>4522510372.3800001</v>
      </c>
    </row>
    <row r="196" spans="2:21" ht="76.5" x14ac:dyDescent="0.2">
      <c r="B196" s="99" t="s">
        <v>253</v>
      </c>
      <c r="C196" s="23" t="s">
        <v>254</v>
      </c>
      <c r="D196" s="81">
        <v>1</v>
      </c>
      <c r="E196" s="81">
        <v>1</v>
      </c>
      <c r="F196" s="82">
        <f t="shared" si="23"/>
        <v>100</v>
      </c>
      <c r="G196" s="28" t="s">
        <v>451</v>
      </c>
      <c r="H196" s="23"/>
      <c r="I196" s="36">
        <v>4</v>
      </c>
      <c r="J196" s="6">
        <f t="shared" ref="J196" si="25">(3+E196)</f>
        <v>4</v>
      </c>
      <c r="K196" s="82">
        <f t="shared" si="24"/>
        <v>100</v>
      </c>
      <c r="L196" s="28"/>
      <c r="M196" s="186"/>
      <c r="N196" s="186"/>
      <c r="O196" s="186"/>
      <c r="P196" s="186"/>
      <c r="Q196" s="186"/>
      <c r="R196" s="186"/>
      <c r="S196" s="30"/>
      <c r="T196" s="13"/>
    </row>
    <row r="197" spans="2:21" ht="51" x14ac:dyDescent="0.2">
      <c r="B197" s="99" t="s">
        <v>255</v>
      </c>
      <c r="C197" s="23" t="s">
        <v>256</v>
      </c>
      <c r="D197" s="81">
        <v>1</v>
      </c>
      <c r="E197" s="81">
        <v>1</v>
      </c>
      <c r="F197" s="82">
        <f t="shared" si="23"/>
        <v>100</v>
      </c>
      <c r="G197" s="28" t="s">
        <v>452</v>
      </c>
      <c r="H197" s="23"/>
      <c r="I197" s="36">
        <v>1</v>
      </c>
      <c r="J197" s="6">
        <v>1</v>
      </c>
      <c r="K197" s="82">
        <f t="shared" si="24"/>
        <v>100</v>
      </c>
      <c r="L197" s="28"/>
      <c r="M197" s="186"/>
      <c r="N197" s="186"/>
      <c r="O197" s="186"/>
      <c r="P197" s="186"/>
      <c r="Q197" s="186"/>
      <c r="R197" s="186"/>
      <c r="S197" s="30"/>
      <c r="T197" s="13"/>
    </row>
    <row r="198" spans="2:21" ht="38.25" x14ac:dyDescent="0.2">
      <c r="B198" s="99" t="s">
        <v>257</v>
      </c>
      <c r="C198" s="23" t="s">
        <v>258</v>
      </c>
      <c r="D198" s="81">
        <v>20</v>
      </c>
      <c r="E198" s="81">
        <v>20</v>
      </c>
      <c r="F198" s="82">
        <f t="shared" si="23"/>
        <v>100</v>
      </c>
      <c r="G198" s="28" t="s">
        <v>453</v>
      </c>
      <c r="H198" s="23"/>
      <c r="I198" s="36">
        <v>80</v>
      </c>
      <c r="J198" s="6">
        <f>(60+E198)</f>
        <v>80</v>
      </c>
      <c r="K198" s="82">
        <f t="shared" si="24"/>
        <v>100</v>
      </c>
      <c r="L198" s="28"/>
      <c r="M198" s="186"/>
      <c r="N198" s="186"/>
      <c r="O198" s="186"/>
      <c r="P198" s="186"/>
      <c r="Q198" s="186"/>
      <c r="R198" s="186"/>
      <c r="S198" s="30"/>
      <c r="T198" s="13"/>
    </row>
    <row r="199" spans="2:21" ht="38.25" x14ac:dyDescent="0.2">
      <c r="B199" s="99" t="s">
        <v>259</v>
      </c>
      <c r="C199" s="23" t="s">
        <v>260</v>
      </c>
      <c r="D199" s="81">
        <v>10</v>
      </c>
      <c r="E199" s="81">
        <v>10</v>
      </c>
      <c r="F199" s="82">
        <f t="shared" si="23"/>
        <v>100</v>
      </c>
      <c r="G199" s="28" t="s">
        <v>454</v>
      </c>
      <c r="H199" s="23"/>
      <c r="I199" s="83">
        <v>10</v>
      </c>
      <c r="J199" s="6">
        <f>(0+E199)</f>
        <v>10</v>
      </c>
      <c r="K199" s="82">
        <f t="shared" si="24"/>
        <v>100</v>
      </c>
      <c r="L199" s="28"/>
      <c r="M199" s="186"/>
      <c r="N199" s="186"/>
      <c r="O199" s="186"/>
      <c r="P199" s="186"/>
      <c r="Q199" s="186"/>
      <c r="R199" s="186"/>
      <c r="S199" s="30"/>
      <c r="T199" s="13"/>
    </row>
    <row r="200" spans="2:21" x14ac:dyDescent="0.2">
      <c r="B200" s="99"/>
      <c r="C200" s="23"/>
      <c r="D200" s="81"/>
      <c r="E200" s="81"/>
      <c r="F200" s="82"/>
      <c r="G200" s="28"/>
      <c r="H200" s="23"/>
      <c r="I200" s="106">
        <v>1000</v>
      </c>
      <c r="J200" s="66"/>
      <c r="K200" s="67">
        <f>SUM(K190:K199)</f>
        <v>1000</v>
      </c>
      <c r="L200" s="64">
        <v>100</v>
      </c>
      <c r="M200" s="79"/>
      <c r="N200" s="79"/>
      <c r="O200" s="79"/>
      <c r="P200" s="79"/>
      <c r="Q200" s="79"/>
      <c r="R200" s="79"/>
      <c r="S200" s="30"/>
      <c r="T200" s="13"/>
    </row>
    <row r="201" spans="2:21" x14ac:dyDescent="0.2">
      <c r="B201" s="99" t="s">
        <v>295</v>
      </c>
      <c r="C201" s="28"/>
      <c r="D201" s="28">
        <v>1000</v>
      </c>
      <c r="E201" s="28"/>
      <c r="F201" s="82">
        <f>SUM(F190:F199)</f>
        <v>1000</v>
      </c>
      <c r="G201" s="28">
        <f>F201/D201*100</f>
        <v>100</v>
      </c>
      <c r="H201" s="28"/>
      <c r="I201" s="28">
        <f>SUM(I10:I199)</f>
        <v>77636.5</v>
      </c>
      <c r="J201" s="28">
        <f>SUM(J10:J199)</f>
        <v>63854.5</v>
      </c>
      <c r="K201" s="82">
        <f t="shared" si="24"/>
        <v>82.248040547938146</v>
      </c>
      <c r="L201" s="28"/>
      <c r="M201" s="30"/>
      <c r="N201" s="30"/>
      <c r="O201" s="30"/>
      <c r="P201" s="30"/>
      <c r="Q201" s="30"/>
      <c r="R201" s="30"/>
      <c r="S201" s="30"/>
      <c r="T201" s="13"/>
    </row>
    <row r="202" spans="2:21" ht="127.5" customHeight="1" x14ac:dyDescent="0.2">
      <c r="B202" s="191" t="s">
        <v>351</v>
      </c>
      <c r="C202" s="191"/>
      <c r="D202" s="107">
        <f>SUM(D10:D201)</f>
        <v>50638.83</v>
      </c>
      <c r="E202" s="107">
        <f>SUM(E10:E201)</f>
        <v>38681.83</v>
      </c>
      <c r="F202" s="107">
        <f>(E202/D202)*100</f>
        <v>76.387685102519157</v>
      </c>
      <c r="G202" s="107"/>
      <c r="H202" s="107"/>
      <c r="I202" s="107">
        <f>SUM(I10:I201)</f>
        <v>156273</v>
      </c>
      <c r="J202" s="107">
        <f>SUM(J10:J201)</f>
        <v>127709</v>
      </c>
      <c r="K202" s="107">
        <f>(J202/I202)*100</f>
        <v>81.721730561261381</v>
      </c>
      <c r="L202" s="108"/>
      <c r="M202" s="41">
        <f>SUM(M10:M201)</f>
        <v>81800045148.990005</v>
      </c>
      <c r="N202" s="41">
        <f>SUM(N10:N201)</f>
        <v>76455429033.340012</v>
      </c>
      <c r="O202" s="42">
        <f>SUM(N202/M202)*100</f>
        <v>93.466243073686144</v>
      </c>
      <c r="P202" s="41">
        <f>SUM(P10:P201)</f>
        <v>198957944730.00995</v>
      </c>
      <c r="Q202" s="43">
        <f>SUM(Q10:Q201)</f>
        <v>154158815978.59</v>
      </c>
      <c r="R202" s="42">
        <f>SUM(Q202/P202)*100</f>
        <v>77.483116438394404</v>
      </c>
      <c r="S202" s="109"/>
      <c r="T202" s="13"/>
    </row>
    <row r="203" spans="2:21" x14ac:dyDescent="0.2">
      <c r="B203" s="192" t="s">
        <v>352</v>
      </c>
      <c r="C203" s="192"/>
      <c r="D203" s="192"/>
      <c r="E203" s="192"/>
      <c r="F203" s="192"/>
      <c r="G203" s="192"/>
      <c r="H203" s="192"/>
      <c r="I203" s="192"/>
      <c r="J203" s="192"/>
      <c r="K203" s="192"/>
      <c r="L203" s="192"/>
      <c r="M203" s="192"/>
      <c r="N203" s="192"/>
      <c r="O203" s="192"/>
      <c r="P203" s="192"/>
      <c r="Q203" s="192"/>
      <c r="R203" s="192"/>
      <c r="S203" s="192"/>
      <c r="T203" s="13"/>
    </row>
    <row r="204" spans="2:21" x14ac:dyDescent="0.2">
      <c r="B204" s="13"/>
      <c r="C204" s="13"/>
      <c r="D204" s="13"/>
      <c r="E204" s="13"/>
      <c r="F204" s="44" t="s">
        <v>356</v>
      </c>
      <c r="G204" s="13"/>
      <c r="H204" s="13"/>
      <c r="I204" s="13"/>
      <c r="J204" s="13"/>
      <c r="K204" s="13"/>
      <c r="L204" s="13"/>
      <c r="M204" s="13"/>
      <c r="N204" s="13"/>
      <c r="O204" s="49">
        <v>0.51</v>
      </c>
      <c r="P204" s="50" t="s">
        <v>358</v>
      </c>
      <c r="Q204" s="13"/>
      <c r="R204" s="13"/>
      <c r="S204" s="45"/>
      <c r="T204" s="13"/>
    </row>
    <row r="205" spans="2:21" x14ac:dyDescent="0.2">
      <c r="B205" s="193"/>
      <c r="C205" s="193"/>
      <c r="D205" s="193"/>
      <c r="E205" s="193"/>
      <c r="F205" s="193"/>
      <c r="G205" s="193"/>
      <c r="H205" s="193"/>
      <c r="I205" s="193"/>
      <c r="J205" s="193"/>
      <c r="K205" s="193"/>
      <c r="L205" s="193"/>
      <c r="M205" s="193"/>
      <c r="N205" s="193"/>
      <c r="O205" s="193"/>
      <c r="P205" s="193"/>
      <c r="Q205" s="193"/>
      <c r="R205" s="193"/>
      <c r="S205" s="13"/>
      <c r="T205" s="13"/>
    </row>
    <row r="206" spans="2:21" x14ac:dyDescent="0.2">
      <c r="D206">
        <v>11500</v>
      </c>
      <c r="E206" s="48" t="s">
        <v>357</v>
      </c>
      <c r="F206">
        <v>8973.7999999999993</v>
      </c>
      <c r="O206" s="1">
        <v>59.48</v>
      </c>
      <c r="P206" s="1" t="s">
        <v>359</v>
      </c>
    </row>
    <row r="208" spans="2:21" x14ac:dyDescent="0.2">
      <c r="B208" s="51">
        <v>12500</v>
      </c>
      <c r="C208" s="51">
        <v>9953</v>
      </c>
      <c r="E208" s="51">
        <f>(C208/B208)*100</f>
        <v>79.623999999999995</v>
      </c>
      <c r="F208" s="51">
        <v>99.85</v>
      </c>
      <c r="G208" s="52" t="s">
        <v>361</v>
      </c>
      <c r="H208" s="51" t="s">
        <v>362</v>
      </c>
      <c r="I208" s="51"/>
      <c r="J208" s="51"/>
      <c r="K208" s="51"/>
      <c r="L208" s="51"/>
      <c r="M208" s="51" t="s">
        <v>363</v>
      </c>
      <c r="N208" s="51"/>
      <c r="O208" s="51">
        <v>85.51</v>
      </c>
      <c r="P208" s="51" t="s">
        <v>361</v>
      </c>
    </row>
    <row r="209" spans="2:11" x14ac:dyDescent="0.2">
      <c r="B209" s="68"/>
      <c r="C209" s="68"/>
      <c r="D209" s="68" t="s">
        <v>366</v>
      </c>
      <c r="E209" s="68" t="s">
        <v>367</v>
      </c>
      <c r="F209" s="68"/>
      <c r="G209" s="68"/>
      <c r="H209" s="68"/>
      <c r="I209" s="68"/>
      <c r="J209" s="68" t="s">
        <v>366</v>
      </c>
      <c r="K209" s="68" t="s">
        <v>367</v>
      </c>
    </row>
    <row r="210" spans="2:11" x14ac:dyDescent="0.2">
      <c r="B210" s="69" t="s">
        <v>369</v>
      </c>
      <c r="C210" s="68" t="s">
        <v>364</v>
      </c>
      <c r="D210" s="68" t="s">
        <v>365</v>
      </c>
      <c r="E210" s="68"/>
      <c r="F210" s="68"/>
      <c r="G210" s="68"/>
      <c r="H210" s="69" t="s">
        <v>368</v>
      </c>
      <c r="I210" s="68" t="s">
        <v>364</v>
      </c>
      <c r="J210" s="68" t="s">
        <v>365</v>
      </c>
      <c r="K210" s="68"/>
    </row>
    <row r="211" spans="2:11" x14ac:dyDescent="0.2">
      <c r="B211" s="68">
        <v>600</v>
      </c>
      <c r="C211" s="68">
        <v>564</v>
      </c>
      <c r="D211" s="70">
        <f>C211/B211*100</f>
        <v>94</v>
      </c>
      <c r="E211" s="70">
        <f>(D211+D212+D213+D214)/4</f>
        <v>93.5</v>
      </c>
      <c r="F211" s="68">
        <v>1</v>
      </c>
      <c r="G211" s="68"/>
      <c r="H211" s="68">
        <v>900</v>
      </c>
      <c r="I211" s="68">
        <v>840</v>
      </c>
      <c r="J211" s="70">
        <f>I211/H211*100</f>
        <v>93.333333333333329</v>
      </c>
      <c r="K211" s="70">
        <f>(J211+J212+J213+J214)/4</f>
        <v>95.726190476190467</v>
      </c>
    </row>
    <row r="212" spans="2:11" x14ac:dyDescent="0.2">
      <c r="B212" s="68">
        <v>100</v>
      </c>
      <c r="C212" s="68">
        <v>100</v>
      </c>
      <c r="D212" s="70">
        <f t="shared" ref="D212:D225" si="26">C212/B212*100</f>
        <v>100</v>
      </c>
      <c r="E212" s="68"/>
      <c r="F212" s="68">
        <v>2</v>
      </c>
      <c r="G212" s="68"/>
      <c r="H212" s="68">
        <v>300</v>
      </c>
      <c r="I212" s="68">
        <v>300</v>
      </c>
      <c r="J212" s="70">
        <f t="shared" ref="J212:J225" si="27">I212/H212*100</f>
        <v>100</v>
      </c>
      <c r="K212" s="68"/>
    </row>
    <row r="213" spans="2:11" x14ac:dyDescent="0.2">
      <c r="B213" s="68">
        <v>500</v>
      </c>
      <c r="C213" s="68">
        <v>400</v>
      </c>
      <c r="D213" s="70">
        <f t="shared" si="26"/>
        <v>80</v>
      </c>
      <c r="E213" s="68"/>
      <c r="F213" s="68">
        <v>3</v>
      </c>
      <c r="G213" s="68"/>
      <c r="H213" s="68">
        <v>700</v>
      </c>
      <c r="I213" s="68">
        <v>627</v>
      </c>
      <c r="J213" s="70">
        <f t="shared" si="27"/>
        <v>89.571428571428569</v>
      </c>
      <c r="K213" s="68"/>
    </row>
    <row r="214" spans="2:11" x14ac:dyDescent="0.2">
      <c r="B214" s="68">
        <v>300</v>
      </c>
      <c r="C214" s="68">
        <v>300</v>
      </c>
      <c r="D214" s="70">
        <f t="shared" si="26"/>
        <v>100</v>
      </c>
      <c r="E214" s="68"/>
      <c r="F214" s="68">
        <v>4</v>
      </c>
      <c r="G214" s="68"/>
      <c r="H214" s="68">
        <v>400</v>
      </c>
      <c r="I214" s="68">
        <v>400</v>
      </c>
      <c r="J214" s="70">
        <f t="shared" si="27"/>
        <v>100</v>
      </c>
      <c r="K214" s="68"/>
    </row>
    <row r="215" spans="2:11" x14ac:dyDescent="0.2">
      <c r="B215" s="68">
        <v>1300</v>
      </c>
      <c r="C215" s="68">
        <v>917</v>
      </c>
      <c r="D215" s="71">
        <f t="shared" si="26"/>
        <v>70.538461538461533</v>
      </c>
      <c r="E215" s="72">
        <f>(D215+D216)/2</f>
        <v>70.269230769230774</v>
      </c>
      <c r="F215" s="68">
        <v>5</v>
      </c>
      <c r="G215" s="68"/>
      <c r="H215" s="68">
        <v>1500</v>
      </c>
      <c r="I215" s="68">
        <v>1205</v>
      </c>
      <c r="J215" s="71">
        <f t="shared" si="27"/>
        <v>80.333333333333329</v>
      </c>
      <c r="K215" s="72">
        <f>(J215+J216)/2</f>
        <v>82.98484848484847</v>
      </c>
    </row>
    <row r="216" spans="2:11" x14ac:dyDescent="0.2">
      <c r="B216" s="68">
        <v>1000</v>
      </c>
      <c r="C216" s="68">
        <v>700</v>
      </c>
      <c r="D216" s="71">
        <f t="shared" si="26"/>
        <v>70</v>
      </c>
      <c r="E216" s="68"/>
      <c r="F216" s="68">
        <v>6</v>
      </c>
      <c r="G216" s="68"/>
      <c r="H216" s="68">
        <v>1100</v>
      </c>
      <c r="I216" s="68">
        <v>942</v>
      </c>
      <c r="J216" s="71">
        <f t="shared" si="27"/>
        <v>85.636363636363626</v>
      </c>
      <c r="K216" s="68"/>
    </row>
    <row r="217" spans="2:11" x14ac:dyDescent="0.2">
      <c r="B217" s="68">
        <v>800</v>
      </c>
      <c r="C217" s="68">
        <v>800</v>
      </c>
      <c r="D217" s="73">
        <f t="shared" si="26"/>
        <v>100</v>
      </c>
      <c r="E217" s="73">
        <f>(D217+D218)/2</f>
        <v>90.909090909090907</v>
      </c>
      <c r="F217" s="68">
        <v>7</v>
      </c>
      <c r="G217" s="68"/>
      <c r="H217" s="68">
        <v>800</v>
      </c>
      <c r="I217" s="68">
        <v>800</v>
      </c>
      <c r="J217" s="73">
        <f t="shared" si="27"/>
        <v>100</v>
      </c>
      <c r="K217" s="73">
        <f>(J217+J218)/2</f>
        <v>95.384615384615387</v>
      </c>
    </row>
    <row r="218" spans="2:11" x14ac:dyDescent="0.2">
      <c r="B218" s="68">
        <v>1100</v>
      </c>
      <c r="C218" s="68">
        <v>900</v>
      </c>
      <c r="D218" s="73">
        <f t="shared" si="26"/>
        <v>81.818181818181827</v>
      </c>
      <c r="E218" s="68"/>
      <c r="F218" s="68">
        <v>8</v>
      </c>
      <c r="G218" s="68"/>
      <c r="H218" s="68">
        <v>1300</v>
      </c>
      <c r="I218" s="68">
        <v>1180</v>
      </c>
      <c r="J218" s="73">
        <f t="shared" si="27"/>
        <v>90.769230769230774</v>
      </c>
      <c r="K218" s="68"/>
    </row>
    <row r="219" spans="2:11" x14ac:dyDescent="0.2">
      <c r="B219" s="68">
        <v>1500</v>
      </c>
      <c r="C219" s="68">
        <v>1300</v>
      </c>
      <c r="D219" s="74">
        <f t="shared" si="26"/>
        <v>86.666666666666671</v>
      </c>
      <c r="E219" s="74">
        <f>D219</f>
        <v>86.666666666666671</v>
      </c>
      <c r="F219" s="68">
        <v>9</v>
      </c>
      <c r="G219" s="68"/>
      <c r="H219" s="68">
        <v>2000</v>
      </c>
      <c r="I219" s="68">
        <v>1700</v>
      </c>
      <c r="J219" s="74">
        <f t="shared" si="27"/>
        <v>85</v>
      </c>
      <c r="K219" s="74">
        <f>J219</f>
        <v>85</v>
      </c>
    </row>
    <row r="220" spans="2:11" x14ac:dyDescent="0.2">
      <c r="B220" s="68">
        <v>600</v>
      </c>
      <c r="C220" s="68">
        <v>600</v>
      </c>
      <c r="D220" s="75">
        <f t="shared" si="26"/>
        <v>100</v>
      </c>
      <c r="E220" s="75">
        <f>(D220+D221+D222)/3</f>
        <v>100</v>
      </c>
      <c r="F220" s="68">
        <v>10</v>
      </c>
      <c r="G220" s="68"/>
      <c r="H220" s="68">
        <v>800</v>
      </c>
      <c r="I220" s="68">
        <v>787</v>
      </c>
      <c r="J220" s="75">
        <f t="shared" si="27"/>
        <v>98.375</v>
      </c>
      <c r="K220" s="75">
        <f>(J220+J221+J222)/3</f>
        <v>86.814655172413794</v>
      </c>
    </row>
    <row r="221" spans="2:11" x14ac:dyDescent="0.2">
      <c r="B221" s="68">
        <v>100</v>
      </c>
      <c r="C221" s="68">
        <v>100</v>
      </c>
      <c r="D221" s="75">
        <f t="shared" si="26"/>
        <v>100</v>
      </c>
      <c r="E221" s="68"/>
      <c r="F221" s="68">
        <v>11</v>
      </c>
      <c r="G221" s="68"/>
      <c r="H221" s="68">
        <v>400</v>
      </c>
      <c r="I221" s="68">
        <v>400</v>
      </c>
      <c r="J221" s="75">
        <f t="shared" si="27"/>
        <v>100</v>
      </c>
      <c r="K221" s="68"/>
    </row>
    <row r="222" spans="2:11" x14ac:dyDescent="0.2">
      <c r="B222" s="68">
        <v>2100</v>
      </c>
      <c r="C222" s="68">
        <v>2100</v>
      </c>
      <c r="D222" s="75">
        <f t="shared" si="26"/>
        <v>100</v>
      </c>
      <c r="E222" s="68"/>
      <c r="F222" s="68">
        <v>12</v>
      </c>
      <c r="G222" s="68"/>
      <c r="H222" s="68">
        <v>2900</v>
      </c>
      <c r="I222" s="68">
        <v>1800</v>
      </c>
      <c r="J222" s="75">
        <f t="shared" si="27"/>
        <v>62.068965517241381</v>
      </c>
      <c r="K222" s="68"/>
    </row>
    <row r="223" spans="2:11" x14ac:dyDescent="0.2">
      <c r="B223" s="68">
        <v>1300</v>
      </c>
      <c r="C223" s="68">
        <v>1300</v>
      </c>
      <c r="D223" s="76">
        <f t="shared" si="26"/>
        <v>100</v>
      </c>
      <c r="E223" s="76">
        <f>(D223+D224)/2</f>
        <v>100</v>
      </c>
      <c r="F223" s="68">
        <v>13</v>
      </c>
      <c r="G223" s="68"/>
      <c r="H223" s="68">
        <v>1300</v>
      </c>
      <c r="I223" s="68">
        <v>1254</v>
      </c>
      <c r="J223" s="76">
        <f t="shared" si="27"/>
        <v>96.461538461538467</v>
      </c>
      <c r="K223" s="76">
        <f>(J223+J224)/2</f>
        <v>98.230769230769226</v>
      </c>
    </row>
    <row r="224" spans="2:11" x14ac:dyDescent="0.2">
      <c r="B224" s="68">
        <v>1000</v>
      </c>
      <c r="C224" s="68">
        <v>1000</v>
      </c>
      <c r="D224" s="76">
        <f t="shared" si="26"/>
        <v>100</v>
      </c>
      <c r="E224" s="68"/>
      <c r="F224" s="68">
        <v>14</v>
      </c>
      <c r="G224" s="68"/>
      <c r="H224" s="68">
        <v>1000</v>
      </c>
      <c r="I224" s="68">
        <v>1000</v>
      </c>
      <c r="J224" s="76">
        <f t="shared" si="27"/>
        <v>100</v>
      </c>
      <c r="K224" s="68"/>
    </row>
    <row r="225" spans="2:11" x14ac:dyDescent="0.2">
      <c r="B225" s="68">
        <f>SUM(B211:B224)</f>
        <v>12300</v>
      </c>
      <c r="C225" s="68">
        <f>SUM(C211:C224)</f>
        <v>11081</v>
      </c>
      <c r="D225" s="77">
        <f t="shared" si="26"/>
        <v>90.089430894308947</v>
      </c>
      <c r="E225" s="68"/>
      <c r="F225" s="68"/>
      <c r="G225" s="68"/>
      <c r="H225" s="68">
        <f>SUM(H211:H224)</f>
        <v>15400</v>
      </c>
      <c r="I225" s="68">
        <f>SUM(I211:I224)</f>
        <v>13235</v>
      </c>
      <c r="J225" s="77">
        <f t="shared" si="27"/>
        <v>85.941558441558442</v>
      </c>
      <c r="K225" s="68"/>
    </row>
  </sheetData>
  <mergeCells count="117">
    <mergeCell ref="B202:C202"/>
    <mergeCell ref="B203:S203"/>
    <mergeCell ref="B205:R205"/>
    <mergeCell ref="Q175:Q187"/>
    <mergeCell ref="R175:R187"/>
    <mergeCell ref="B190:B191"/>
    <mergeCell ref="M190:M199"/>
    <mergeCell ref="N190:N199"/>
    <mergeCell ref="O190:O199"/>
    <mergeCell ref="P190:P199"/>
    <mergeCell ref="Q190:Q199"/>
    <mergeCell ref="R190:R199"/>
    <mergeCell ref="B170:B171"/>
    <mergeCell ref="H170:H171"/>
    <mergeCell ref="M175:M187"/>
    <mergeCell ref="N175:N187"/>
    <mergeCell ref="O175:O187"/>
    <mergeCell ref="P175:P187"/>
    <mergeCell ref="M143:M171"/>
    <mergeCell ref="N143:N171"/>
    <mergeCell ref="O143:O171"/>
    <mergeCell ref="P143:P171"/>
    <mergeCell ref="Q143:Q171"/>
    <mergeCell ref="R143:R171"/>
    <mergeCell ref="M138:M140"/>
    <mergeCell ref="N138:N140"/>
    <mergeCell ref="O138:O140"/>
    <mergeCell ref="P138:P140"/>
    <mergeCell ref="Q138:Q140"/>
    <mergeCell ref="R138:R140"/>
    <mergeCell ref="R128:R136"/>
    <mergeCell ref="C138:C140"/>
    <mergeCell ref="D138:D140"/>
    <mergeCell ref="E138:E140"/>
    <mergeCell ref="F138:F140"/>
    <mergeCell ref="G138:G140"/>
    <mergeCell ref="H138:H140"/>
    <mergeCell ref="I138:I140"/>
    <mergeCell ref="J138:J140"/>
    <mergeCell ref="K138:K140"/>
    <mergeCell ref="B120:B121"/>
    <mergeCell ref="M128:M136"/>
    <mergeCell ref="N128:N136"/>
    <mergeCell ref="O128:O136"/>
    <mergeCell ref="P128:P136"/>
    <mergeCell ref="Q128:Q136"/>
    <mergeCell ref="M104:M123"/>
    <mergeCell ref="N104:N123"/>
    <mergeCell ref="O104:O123"/>
    <mergeCell ref="P104:P123"/>
    <mergeCell ref="Q104:Q123"/>
    <mergeCell ref="R104:R123"/>
    <mergeCell ref="M86:M98"/>
    <mergeCell ref="N86:N98"/>
    <mergeCell ref="O86:O98"/>
    <mergeCell ref="P86:P98"/>
    <mergeCell ref="Q86:Q98"/>
    <mergeCell ref="R86:R98"/>
    <mergeCell ref="Q61:Q71"/>
    <mergeCell ref="R61:R71"/>
    <mergeCell ref="M76:M83"/>
    <mergeCell ref="N76:N83"/>
    <mergeCell ref="O76:O83"/>
    <mergeCell ref="P76:P83"/>
    <mergeCell ref="Q76:Q83"/>
    <mergeCell ref="R76:R83"/>
    <mergeCell ref="S46:S47"/>
    <mergeCell ref="B48:B49"/>
    <mergeCell ref="B51:B52"/>
    <mergeCell ref="B53:B54"/>
    <mergeCell ref="S53:S54"/>
    <mergeCell ref="M61:M71"/>
    <mergeCell ref="N61:N71"/>
    <mergeCell ref="O61:O71"/>
    <mergeCell ref="P61:P71"/>
    <mergeCell ref="M44:M58"/>
    <mergeCell ref="N44:N58"/>
    <mergeCell ref="O44:O58"/>
    <mergeCell ref="P44:P58"/>
    <mergeCell ref="Q44:Q58"/>
    <mergeCell ref="R44:R58"/>
    <mergeCell ref="M36:M39"/>
    <mergeCell ref="N36:N39"/>
    <mergeCell ref="O36:O39"/>
    <mergeCell ref="P36:P39"/>
    <mergeCell ref="Q36:Q39"/>
    <mergeCell ref="R36:R39"/>
    <mergeCell ref="R22:R24"/>
    <mergeCell ref="M27:M33"/>
    <mergeCell ref="N27:N33"/>
    <mergeCell ref="O27:O33"/>
    <mergeCell ref="P27:P33"/>
    <mergeCell ref="Q27:Q33"/>
    <mergeCell ref="R27:R33"/>
    <mergeCell ref="M22:M24"/>
    <mergeCell ref="N22:N24"/>
    <mergeCell ref="O22:O24"/>
    <mergeCell ref="P22:P24"/>
    <mergeCell ref="Q22:Q24"/>
    <mergeCell ref="H10:H13"/>
    <mergeCell ref="B3:S3"/>
    <mergeCell ref="B4:S4"/>
    <mergeCell ref="C5:L5"/>
    <mergeCell ref="B6:B7"/>
    <mergeCell ref="C6:L6"/>
    <mergeCell ref="M6:R6"/>
    <mergeCell ref="S6:S7"/>
    <mergeCell ref="S10:S11"/>
    <mergeCell ref="B12:B13"/>
    <mergeCell ref="S12:S13"/>
    <mergeCell ref="G10:G13"/>
    <mergeCell ref="M10:M18"/>
    <mergeCell ref="N10:N18"/>
    <mergeCell ref="O10:O18"/>
    <mergeCell ref="P10:P18"/>
    <mergeCell ref="Q10:Q18"/>
    <mergeCell ref="R10:R18"/>
  </mergeCells>
  <phoneticPr fontId="16" type="noConversion"/>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0905F-2B02-4112-926B-B77FE6E7EB55}">
  <dimension ref="C1:M60"/>
  <sheetViews>
    <sheetView view="pageBreakPreview" topLeftCell="C1" zoomScaleNormal="100" zoomScaleSheetLayoutView="100" workbookViewId="0">
      <selection activeCell="F7" sqref="F7:F25"/>
    </sheetView>
  </sheetViews>
  <sheetFormatPr baseColWidth="10" defaultRowHeight="12.75" x14ac:dyDescent="0.2"/>
  <cols>
    <col min="2" max="2" width="7" customWidth="1"/>
    <col min="3" max="3" width="32.85546875" customWidth="1"/>
    <col min="4" max="4" width="20.140625" customWidth="1"/>
    <col min="5" max="5" width="18.7109375" customWidth="1"/>
    <col min="6" max="6" width="7.42578125" customWidth="1"/>
    <col min="7" max="7" width="12" customWidth="1"/>
    <col min="8" max="8" width="21.5703125" customWidth="1"/>
    <col min="9" max="9" width="23.28515625" customWidth="1"/>
    <col min="10" max="10" width="6.140625" customWidth="1"/>
    <col min="12" max="12" width="16.140625" customWidth="1"/>
    <col min="13" max="13" width="18.140625" customWidth="1"/>
  </cols>
  <sheetData>
    <row r="1" spans="3:11" ht="13.5" thickBot="1" x14ac:dyDescent="0.25">
      <c r="C1" s="194" t="s">
        <v>472</v>
      </c>
      <c r="D1" s="195"/>
      <c r="E1" s="195"/>
      <c r="F1" s="195"/>
      <c r="G1" s="195"/>
      <c r="H1" s="195"/>
      <c r="I1" s="195"/>
      <c r="J1" s="195"/>
      <c r="K1" s="196"/>
    </row>
    <row r="2" spans="3:11" ht="13.5" thickBot="1" x14ac:dyDescent="0.25">
      <c r="C2" s="194" t="s">
        <v>484</v>
      </c>
      <c r="D2" s="195"/>
      <c r="E2" s="195"/>
      <c r="F2" s="195"/>
      <c r="G2" s="195"/>
      <c r="H2" s="195"/>
      <c r="I2" s="195"/>
      <c r="J2" s="195"/>
      <c r="K2" s="196"/>
    </row>
    <row r="3" spans="3:11" ht="13.5" thickBot="1" x14ac:dyDescent="0.25">
      <c r="C3" s="194" t="s">
        <v>477</v>
      </c>
      <c r="D3" s="195"/>
      <c r="E3" s="195"/>
      <c r="F3" s="195"/>
      <c r="G3" s="195"/>
      <c r="H3" s="195"/>
      <c r="I3" s="195"/>
      <c r="J3" s="195"/>
      <c r="K3" s="196"/>
    </row>
    <row r="4" spans="3:11" ht="13.5" thickBot="1" x14ac:dyDescent="0.25">
      <c r="C4" s="194" t="s">
        <v>473</v>
      </c>
      <c r="D4" s="195"/>
      <c r="E4" s="195"/>
      <c r="F4" s="195"/>
      <c r="G4" s="195"/>
      <c r="H4" s="195"/>
      <c r="I4" s="195"/>
      <c r="J4" s="195"/>
      <c r="K4" s="196"/>
    </row>
    <row r="5" spans="3:11" x14ac:dyDescent="0.2">
      <c r="C5" s="126" t="s">
        <v>474</v>
      </c>
      <c r="D5" s="197">
        <v>2019</v>
      </c>
      <c r="E5" s="198"/>
      <c r="F5" s="198"/>
      <c r="G5" s="199"/>
      <c r="H5" s="200" t="s">
        <v>371</v>
      </c>
      <c r="I5" s="201"/>
      <c r="J5" s="201"/>
      <c r="K5" s="202"/>
    </row>
    <row r="6" spans="3:11" ht="29.25" customHeight="1" x14ac:dyDescent="0.2">
      <c r="C6" s="114" t="s">
        <v>471</v>
      </c>
      <c r="D6" s="115" t="s">
        <v>370</v>
      </c>
      <c r="E6" s="114" t="s">
        <v>475</v>
      </c>
      <c r="F6" s="114" t="s">
        <v>365</v>
      </c>
      <c r="G6" s="116" t="s">
        <v>476</v>
      </c>
      <c r="H6" s="115" t="s">
        <v>370</v>
      </c>
      <c r="I6" s="114" t="s">
        <v>475</v>
      </c>
      <c r="J6" s="114" t="s">
        <v>365</v>
      </c>
      <c r="K6" s="116" t="s">
        <v>476</v>
      </c>
    </row>
    <row r="7" spans="3:11" x14ac:dyDescent="0.2">
      <c r="C7" s="127" t="s">
        <v>455</v>
      </c>
      <c r="D7" s="75">
        <v>600</v>
      </c>
      <c r="E7" s="75">
        <v>564</v>
      </c>
      <c r="F7" s="75">
        <f>E7/D7*100</f>
        <v>94</v>
      </c>
      <c r="G7" s="78"/>
      <c r="H7" s="110">
        <v>900</v>
      </c>
      <c r="I7" s="110">
        <v>840</v>
      </c>
      <c r="J7" s="110">
        <f>I7/H7*100</f>
        <v>93.333333333333329</v>
      </c>
      <c r="K7" s="110"/>
    </row>
    <row r="8" spans="3:11" x14ac:dyDescent="0.2">
      <c r="C8" s="127" t="s">
        <v>456</v>
      </c>
      <c r="D8" s="75">
        <v>100</v>
      </c>
      <c r="E8" s="75">
        <v>100</v>
      </c>
      <c r="F8" s="75">
        <f t="shared" ref="F8:F28" si="0">E8/D8*100</f>
        <v>100</v>
      </c>
      <c r="G8" s="78"/>
      <c r="H8" s="110">
        <v>300</v>
      </c>
      <c r="I8" s="110">
        <v>300</v>
      </c>
      <c r="J8" s="110">
        <f t="shared" ref="J8:J28" si="1">I8/H8*100</f>
        <v>100</v>
      </c>
      <c r="K8" s="111"/>
    </row>
    <row r="9" spans="3:11" x14ac:dyDescent="0.2">
      <c r="C9" s="127" t="s">
        <v>457</v>
      </c>
      <c r="D9" s="75">
        <v>500</v>
      </c>
      <c r="E9" s="75">
        <v>400</v>
      </c>
      <c r="F9" s="75">
        <f t="shared" si="0"/>
        <v>80</v>
      </c>
      <c r="G9" s="78"/>
      <c r="H9" s="110">
        <v>700</v>
      </c>
      <c r="I9" s="110">
        <v>627</v>
      </c>
      <c r="J9" s="110">
        <f t="shared" si="1"/>
        <v>89.571428571428569</v>
      </c>
      <c r="K9" s="111"/>
    </row>
    <row r="10" spans="3:11" ht="25.5" x14ac:dyDescent="0.2">
      <c r="C10" s="127" t="s">
        <v>458</v>
      </c>
      <c r="D10" s="75">
        <v>300</v>
      </c>
      <c r="E10" s="75">
        <v>300</v>
      </c>
      <c r="F10" s="75">
        <f t="shared" si="0"/>
        <v>100</v>
      </c>
      <c r="G10" s="78"/>
      <c r="H10" s="110">
        <v>400</v>
      </c>
      <c r="I10" s="110">
        <v>400</v>
      </c>
      <c r="J10" s="110">
        <f t="shared" si="1"/>
        <v>100</v>
      </c>
      <c r="K10" s="111"/>
    </row>
    <row r="11" spans="3:11" ht="25.5" x14ac:dyDescent="0.2">
      <c r="C11" s="127" t="s">
        <v>478</v>
      </c>
      <c r="D11" s="75"/>
      <c r="E11" s="75"/>
      <c r="F11" s="75"/>
      <c r="G11" s="78">
        <f>(F7+F8+F9+F10)/4</f>
        <v>93.5</v>
      </c>
      <c r="H11" s="110"/>
      <c r="I11" s="110"/>
      <c r="J11" s="110"/>
      <c r="K11" s="111">
        <f>(J7+J8+J9+J10)/4</f>
        <v>95.726190476190467</v>
      </c>
    </row>
    <row r="12" spans="3:11" x14ac:dyDescent="0.2">
      <c r="C12" s="128" t="s">
        <v>459</v>
      </c>
      <c r="D12" s="124">
        <v>1300</v>
      </c>
      <c r="E12" s="124">
        <v>917</v>
      </c>
      <c r="F12" s="124">
        <f t="shared" si="0"/>
        <v>70.538461538461533</v>
      </c>
      <c r="G12" s="125"/>
      <c r="H12" s="112">
        <v>1500</v>
      </c>
      <c r="I12" s="112">
        <v>1205</v>
      </c>
      <c r="J12" s="112">
        <f t="shared" si="1"/>
        <v>80.333333333333329</v>
      </c>
      <c r="K12" s="112"/>
    </row>
    <row r="13" spans="3:11" x14ac:dyDescent="0.2">
      <c r="C13" s="128" t="s">
        <v>460</v>
      </c>
      <c r="D13" s="124">
        <v>1000</v>
      </c>
      <c r="E13" s="124">
        <v>700</v>
      </c>
      <c r="F13" s="124">
        <f t="shared" si="0"/>
        <v>70</v>
      </c>
      <c r="G13" s="125"/>
      <c r="H13" s="112">
        <v>1100</v>
      </c>
      <c r="I13" s="112">
        <v>942</v>
      </c>
      <c r="J13" s="112">
        <f t="shared" si="1"/>
        <v>85.636363636363626</v>
      </c>
      <c r="K13" s="113"/>
    </row>
    <row r="14" spans="3:11" ht="25.5" x14ac:dyDescent="0.2">
      <c r="C14" s="128" t="s">
        <v>479</v>
      </c>
      <c r="D14" s="124"/>
      <c r="E14" s="124"/>
      <c r="F14" s="124"/>
      <c r="G14" s="125">
        <f>(F12+F13)/2</f>
        <v>70.269230769230774</v>
      </c>
      <c r="H14" s="112"/>
      <c r="I14" s="112"/>
      <c r="J14" s="112"/>
      <c r="K14" s="113">
        <f>(J12+J13)/2</f>
        <v>82.98484848484847</v>
      </c>
    </row>
    <row r="15" spans="3:11" x14ac:dyDescent="0.2">
      <c r="C15" s="127" t="s">
        <v>461</v>
      </c>
      <c r="D15" s="75">
        <v>800</v>
      </c>
      <c r="E15" s="75">
        <v>800</v>
      </c>
      <c r="F15" s="75">
        <f t="shared" si="0"/>
        <v>100</v>
      </c>
      <c r="G15" s="75"/>
      <c r="H15" s="110">
        <v>800</v>
      </c>
      <c r="I15" s="110">
        <v>800</v>
      </c>
      <c r="J15" s="110">
        <f t="shared" si="1"/>
        <v>100</v>
      </c>
      <c r="K15" s="110"/>
    </row>
    <row r="16" spans="3:11" ht="25.5" x14ac:dyDescent="0.2">
      <c r="C16" s="127" t="s">
        <v>462</v>
      </c>
      <c r="D16" s="75">
        <v>1100</v>
      </c>
      <c r="E16" s="75">
        <v>900</v>
      </c>
      <c r="F16" s="75">
        <f t="shared" si="0"/>
        <v>81.818181818181827</v>
      </c>
      <c r="G16" s="78"/>
      <c r="H16" s="110">
        <v>1300</v>
      </c>
      <c r="I16" s="110">
        <v>1180</v>
      </c>
      <c r="J16" s="110">
        <f t="shared" si="1"/>
        <v>90.769230769230774</v>
      </c>
      <c r="K16" s="111"/>
    </row>
    <row r="17" spans="3:11" ht="25.5" x14ac:dyDescent="0.2">
      <c r="C17" s="127" t="s">
        <v>480</v>
      </c>
      <c r="D17" s="75"/>
      <c r="E17" s="75"/>
      <c r="F17" s="75"/>
      <c r="G17" s="78">
        <f>(F15+F16)/2</f>
        <v>90.909090909090907</v>
      </c>
      <c r="H17" s="110"/>
      <c r="I17" s="110"/>
      <c r="J17" s="110"/>
      <c r="K17" s="111">
        <f>(J15+J16)/2</f>
        <v>95.384615384615387</v>
      </c>
    </row>
    <row r="18" spans="3:11" x14ac:dyDescent="0.2">
      <c r="C18" s="128" t="s">
        <v>463</v>
      </c>
      <c r="D18" s="124">
        <v>1500</v>
      </c>
      <c r="E18" s="124">
        <v>1300</v>
      </c>
      <c r="F18" s="124">
        <f t="shared" ref="F18" si="2">E18/D18*100</f>
        <v>86.666666666666671</v>
      </c>
      <c r="G18" s="125"/>
      <c r="H18" s="112">
        <v>2000</v>
      </c>
      <c r="I18" s="112">
        <v>1700</v>
      </c>
      <c r="J18" s="112">
        <f t="shared" ref="J18" si="3">I18/H18*100</f>
        <v>85</v>
      </c>
      <c r="K18" s="113"/>
    </row>
    <row r="19" spans="3:11" ht="25.5" x14ac:dyDescent="0.2">
      <c r="C19" s="128" t="s">
        <v>481</v>
      </c>
      <c r="D19" s="124"/>
      <c r="E19" s="124"/>
      <c r="F19" s="124"/>
      <c r="G19" s="125">
        <f>F18</f>
        <v>86.666666666666671</v>
      </c>
      <c r="H19" s="112"/>
      <c r="I19" s="112"/>
      <c r="J19" s="112"/>
      <c r="K19" s="113">
        <f>J18</f>
        <v>85</v>
      </c>
    </row>
    <row r="20" spans="3:11" x14ac:dyDescent="0.2">
      <c r="C20" s="127" t="s">
        <v>464</v>
      </c>
      <c r="D20" s="75">
        <v>600</v>
      </c>
      <c r="E20" s="75">
        <v>600</v>
      </c>
      <c r="F20" s="75">
        <f t="shared" ref="F20:F22" si="4">E20/D20*100</f>
        <v>100</v>
      </c>
      <c r="G20" s="78"/>
      <c r="H20" s="122">
        <v>800</v>
      </c>
      <c r="I20" s="122">
        <v>787</v>
      </c>
      <c r="J20" s="122">
        <f t="shared" ref="J20:J22" si="5">I20/H20*100</f>
        <v>98.375</v>
      </c>
      <c r="K20" s="122"/>
    </row>
    <row r="21" spans="3:11" x14ac:dyDescent="0.2">
      <c r="C21" s="127" t="s">
        <v>465</v>
      </c>
      <c r="D21" s="75">
        <v>100</v>
      </c>
      <c r="E21" s="75">
        <v>100</v>
      </c>
      <c r="F21" s="75">
        <f t="shared" si="4"/>
        <v>100</v>
      </c>
      <c r="G21" s="75"/>
      <c r="H21" s="122">
        <v>400</v>
      </c>
      <c r="I21" s="122">
        <v>400</v>
      </c>
      <c r="J21" s="122">
        <f t="shared" si="5"/>
        <v>100</v>
      </c>
      <c r="K21" s="123"/>
    </row>
    <row r="22" spans="3:11" ht="14.25" customHeight="1" x14ac:dyDescent="0.2">
      <c r="C22" s="127" t="s">
        <v>466</v>
      </c>
      <c r="D22" s="75">
        <v>2100</v>
      </c>
      <c r="E22" s="75">
        <v>2100</v>
      </c>
      <c r="F22" s="75">
        <f t="shared" si="4"/>
        <v>100</v>
      </c>
      <c r="G22" s="78"/>
      <c r="H22" s="122">
        <v>2900</v>
      </c>
      <c r="I22" s="122">
        <v>1800</v>
      </c>
      <c r="J22" s="122">
        <f t="shared" si="5"/>
        <v>62.068965517241381</v>
      </c>
      <c r="K22" s="123"/>
    </row>
    <row r="23" spans="3:11" x14ac:dyDescent="0.2">
      <c r="C23" s="127" t="s">
        <v>467</v>
      </c>
      <c r="D23" s="75"/>
      <c r="E23" s="75"/>
      <c r="F23" s="75"/>
      <c r="G23" s="78">
        <f>(F20+F21+F22)/3</f>
        <v>100</v>
      </c>
      <c r="H23" s="122"/>
      <c r="I23" s="122"/>
      <c r="J23" s="122"/>
      <c r="K23" s="123">
        <f>(J21+J22+J20)/3</f>
        <v>86.814655172413794</v>
      </c>
    </row>
    <row r="24" spans="3:11" x14ac:dyDescent="0.2">
      <c r="C24" s="128" t="s">
        <v>468</v>
      </c>
      <c r="D24" s="124">
        <v>1300</v>
      </c>
      <c r="E24" s="124">
        <v>1300</v>
      </c>
      <c r="F24" s="124">
        <f>E24/D24*100</f>
        <v>100</v>
      </c>
      <c r="G24" s="125"/>
      <c r="H24" s="119">
        <v>1300</v>
      </c>
      <c r="I24" s="119">
        <v>1254</v>
      </c>
      <c r="J24" s="119">
        <f>I24/H24*100</f>
        <v>96.461538461538467</v>
      </c>
      <c r="K24" s="120"/>
    </row>
    <row r="25" spans="3:11" x14ac:dyDescent="0.2">
      <c r="C25" s="128" t="s">
        <v>469</v>
      </c>
      <c r="D25" s="124">
        <v>1000</v>
      </c>
      <c r="E25" s="124">
        <v>1000</v>
      </c>
      <c r="F25" s="124">
        <f t="shared" ref="F25" si="6">E25/D25*100</f>
        <v>100</v>
      </c>
      <c r="G25" s="125"/>
      <c r="H25" s="119">
        <v>1000</v>
      </c>
      <c r="I25" s="119">
        <v>1000</v>
      </c>
      <c r="J25" s="119">
        <f>I25/H25*100</f>
        <v>100</v>
      </c>
      <c r="K25" s="120"/>
    </row>
    <row r="26" spans="3:11" ht="25.5" x14ac:dyDescent="0.2">
      <c r="C26" s="128" t="s">
        <v>482</v>
      </c>
      <c r="D26" s="124"/>
      <c r="E26" s="124"/>
      <c r="F26" s="124"/>
      <c r="G26" s="125">
        <f>(F24+F25)/2</f>
        <v>100</v>
      </c>
      <c r="H26" s="121"/>
      <c r="I26" s="121"/>
      <c r="J26" s="121"/>
      <c r="K26" s="120">
        <f>(J24+J25)/2</f>
        <v>98.230769230769226</v>
      </c>
    </row>
    <row r="27" spans="3:11" x14ac:dyDescent="0.2">
      <c r="C27" s="130"/>
      <c r="D27" s="77"/>
      <c r="E27" s="77"/>
      <c r="F27" s="77"/>
      <c r="G27" s="77"/>
      <c r="H27" s="131"/>
      <c r="I27" s="131"/>
      <c r="J27" s="131"/>
      <c r="K27" s="77"/>
    </row>
    <row r="28" spans="3:11" x14ac:dyDescent="0.2">
      <c r="C28" s="129" t="s">
        <v>470</v>
      </c>
      <c r="D28" s="117">
        <f>SUM(D7:D27)</f>
        <v>12300</v>
      </c>
      <c r="E28" s="117">
        <f>SUM(E7:E27)</f>
        <v>11081</v>
      </c>
      <c r="F28" s="118">
        <f t="shared" si="0"/>
        <v>90.089430894308947</v>
      </c>
      <c r="G28" s="117">
        <f>SUM(G7:G27)/6</f>
        <v>90.224164724164723</v>
      </c>
      <c r="H28" s="117">
        <f>SUM(H7:H25)</f>
        <v>15400</v>
      </c>
      <c r="I28" s="117">
        <f>SUM(I7:I25)</f>
        <v>13235</v>
      </c>
      <c r="J28" s="118">
        <f t="shared" si="1"/>
        <v>85.941558441558442</v>
      </c>
      <c r="K28" s="117">
        <f>SUM(K8:K27)/6</f>
        <v>90.690179791472886</v>
      </c>
    </row>
    <row r="32" spans="3:11" x14ac:dyDescent="0.2">
      <c r="C32" s="203" t="s">
        <v>472</v>
      </c>
      <c r="D32" s="203"/>
      <c r="E32" s="203"/>
      <c r="F32" s="203"/>
      <c r="G32" s="203"/>
      <c r="H32" s="203"/>
      <c r="I32" s="203"/>
      <c r="J32" s="203"/>
      <c r="K32" s="203"/>
    </row>
    <row r="33" spans="3:13" x14ac:dyDescent="0.2">
      <c r="C33" s="203" t="s">
        <v>483</v>
      </c>
      <c r="D33" s="203"/>
      <c r="E33" s="203"/>
      <c r="F33" s="203"/>
      <c r="G33" s="203"/>
      <c r="H33" s="203"/>
      <c r="I33" s="203"/>
      <c r="J33" s="203"/>
      <c r="K33" s="203"/>
    </row>
    <row r="34" spans="3:13" x14ac:dyDescent="0.2">
      <c r="C34" s="203" t="s">
        <v>477</v>
      </c>
      <c r="D34" s="203"/>
      <c r="E34" s="203"/>
      <c r="F34" s="203"/>
      <c r="G34" s="203"/>
      <c r="H34" s="203"/>
      <c r="I34" s="203"/>
      <c r="J34" s="203"/>
      <c r="K34" s="203"/>
    </row>
    <row r="35" spans="3:13" x14ac:dyDescent="0.2">
      <c r="C35" s="203" t="s">
        <v>473</v>
      </c>
      <c r="D35" s="203"/>
      <c r="E35" s="203"/>
      <c r="F35" s="203"/>
      <c r="G35" s="203"/>
      <c r="H35" s="203"/>
      <c r="I35" s="203"/>
      <c r="J35" s="203"/>
      <c r="K35" s="203"/>
    </row>
    <row r="36" spans="3:13" x14ac:dyDescent="0.2">
      <c r="C36" s="144" t="s">
        <v>474</v>
      </c>
      <c r="D36" s="204">
        <v>2019</v>
      </c>
      <c r="E36" s="204"/>
      <c r="F36" s="204"/>
      <c r="G36" s="204"/>
      <c r="H36" s="205" t="s">
        <v>371</v>
      </c>
      <c r="I36" s="205"/>
      <c r="J36" s="205"/>
      <c r="K36" s="205"/>
    </row>
    <row r="37" spans="3:13" ht="25.5" x14ac:dyDescent="0.2">
      <c r="C37" s="114" t="s">
        <v>471</v>
      </c>
      <c r="D37" s="114" t="s">
        <v>370</v>
      </c>
      <c r="E37" s="114" t="s">
        <v>475</v>
      </c>
      <c r="F37" s="114" t="s">
        <v>365</v>
      </c>
      <c r="G37" s="145" t="s">
        <v>476</v>
      </c>
      <c r="H37" s="114" t="s">
        <v>370</v>
      </c>
      <c r="I37" s="114" t="s">
        <v>475</v>
      </c>
      <c r="J37" s="114" t="s">
        <v>365</v>
      </c>
      <c r="K37" s="145" t="s">
        <v>476</v>
      </c>
    </row>
    <row r="38" spans="3:13" x14ac:dyDescent="0.2">
      <c r="C38" s="127" t="s">
        <v>455</v>
      </c>
      <c r="D38" s="139">
        <f>47516437945+193562055</f>
        <v>47710000000</v>
      </c>
      <c r="E38" s="139">
        <f>47320212903.23+193198014.44</f>
        <v>47513410917.670006</v>
      </c>
      <c r="F38" s="146">
        <f>(E38/D38)*100</f>
        <v>99.587949942716421</v>
      </c>
      <c r="G38" s="78"/>
      <c r="H38" s="147">
        <f>128238176031.94+193562055</f>
        <v>128431738086.94</v>
      </c>
      <c r="I38" s="148">
        <f>98195527951.77+193198014.44</f>
        <v>98388725966.210007</v>
      </c>
      <c r="J38" s="110">
        <f>I38/H38*100</f>
        <v>76.607797598758026</v>
      </c>
      <c r="K38" s="110"/>
      <c r="L38" s="143">
        <v>193562055</v>
      </c>
      <c r="M38" s="132">
        <v>193198014.44</v>
      </c>
    </row>
    <row r="39" spans="3:13" x14ac:dyDescent="0.2">
      <c r="C39" s="127" t="s">
        <v>456</v>
      </c>
      <c r="D39" s="75">
        <v>0</v>
      </c>
      <c r="E39" s="75">
        <v>0</v>
      </c>
      <c r="F39" s="146">
        <v>0</v>
      </c>
      <c r="G39" s="78"/>
      <c r="H39" s="147">
        <v>1113893735.7</v>
      </c>
      <c r="I39" s="148">
        <v>636496782</v>
      </c>
      <c r="J39" s="110">
        <v>0</v>
      </c>
      <c r="K39" s="111"/>
    </row>
    <row r="40" spans="3:13" x14ac:dyDescent="0.2">
      <c r="C40" s="127" t="s">
        <v>457</v>
      </c>
      <c r="D40" s="139">
        <v>900000000</v>
      </c>
      <c r="E40" s="139">
        <v>802709546</v>
      </c>
      <c r="F40" s="146">
        <f t="shared" ref="F40:F41" si="7">(E40/D40)*100</f>
        <v>89.189949555555557</v>
      </c>
      <c r="G40" s="78"/>
      <c r="H40" s="147">
        <v>1979455921.2</v>
      </c>
      <c r="I40" s="148">
        <v>1284064856.54</v>
      </c>
      <c r="J40" s="110">
        <f t="shared" ref="J40:J41" si="8">I40/H40*100</f>
        <v>64.869585767869225</v>
      </c>
      <c r="K40" s="111"/>
    </row>
    <row r="41" spans="3:13" ht="25.5" x14ac:dyDescent="0.2">
      <c r="C41" s="127" t="s">
        <v>458</v>
      </c>
      <c r="D41" s="139">
        <v>5400000000</v>
      </c>
      <c r="E41" s="139">
        <v>1679816168.7</v>
      </c>
      <c r="F41" s="146">
        <f t="shared" si="7"/>
        <v>31.107706827777783</v>
      </c>
      <c r="G41" s="78"/>
      <c r="H41" s="147">
        <v>11085016932</v>
      </c>
      <c r="I41" s="110">
        <v>5409033169.75</v>
      </c>
      <c r="J41" s="110">
        <f t="shared" si="8"/>
        <v>48.795894520786106</v>
      </c>
      <c r="K41" s="111"/>
      <c r="L41" s="134">
        <v>11085016932</v>
      </c>
      <c r="M41" s="136">
        <v>5408669129.4399996</v>
      </c>
    </row>
    <row r="42" spans="3:13" ht="25.5" x14ac:dyDescent="0.2">
      <c r="C42" s="127" t="s">
        <v>478</v>
      </c>
      <c r="D42" s="75"/>
      <c r="E42" s="75"/>
      <c r="F42" s="75"/>
      <c r="G42" s="78">
        <f>(F38+F39+F40+F41)/4</f>
        <v>54.971401581512438</v>
      </c>
      <c r="H42" s="110"/>
      <c r="I42" s="110"/>
      <c r="J42" s="110"/>
      <c r="K42" s="111">
        <f>(J38+J39+J40+J41)/4</f>
        <v>47.568319471853336</v>
      </c>
      <c r="M42" s="138">
        <f>SUM(M38:M41)</f>
        <v>5601867143.8799992</v>
      </c>
    </row>
    <row r="43" spans="3:13" x14ac:dyDescent="0.2">
      <c r="C43" s="128" t="s">
        <v>459</v>
      </c>
      <c r="D43" s="140">
        <v>8190000000</v>
      </c>
      <c r="E43" s="140">
        <v>7894869349.9099998</v>
      </c>
      <c r="F43" s="124">
        <f t="shared" ref="F43:F44" si="9">E43/D43*100</f>
        <v>96.396451158852258</v>
      </c>
      <c r="G43" s="125"/>
      <c r="H43" s="149">
        <v>14557952552.209999</v>
      </c>
      <c r="I43" s="150">
        <v>11274885449.610001</v>
      </c>
      <c r="J43" s="112">
        <f t="shared" ref="J43:J44" si="10">I43/H43*100</f>
        <v>77.448290954200104</v>
      </c>
      <c r="K43" s="112"/>
    </row>
    <row r="44" spans="3:13" x14ac:dyDescent="0.2">
      <c r="C44" s="128" t="s">
        <v>460</v>
      </c>
      <c r="D44" s="140">
        <v>1400000000</v>
      </c>
      <c r="E44" s="140">
        <v>1068299153.9</v>
      </c>
      <c r="F44" s="124">
        <f t="shared" si="9"/>
        <v>76.307082421428575</v>
      </c>
      <c r="G44" s="125"/>
      <c r="H44" s="149">
        <v>4773335882.8000002</v>
      </c>
      <c r="I44" s="150">
        <v>3978228304</v>
      </c>
      <c r="J44" s="112">
        <f t="shared" si="10"/>
        <v>83.342727217980809</v>
      </c>
      <c r="K44" s="113"/>
    </row>
    <row r="45" spans="3:13" ht="25.5" x14ac:dyDescent="0.2">
      <c r="C45" s="128" t="s">
        <v>479</v>
      </c>
      <c r="D45" s="140"/>
      <c r="E45" s="140"/>
      <c r="F45" s="124"/>
      <c r="G45" s="125">
        <f>(F43+F44)/2</f>
        <v>86.351766790140417</v>
      </c>
      <c r="H45" s="112"/>
      <c r="I45" s="112"/>
      <c r="J45" s="112"/>
      <c r="K45" s="113">
        <f>(J43+J44)/2</f>
        <v>80.395509086090456</v>
      </c>
    </row>
    <row r="46" spans="3:13" x14ac:dyDescent="0.2">
      <c r="C46" s="127" t="s">
        <v>461</v>
      </c>
      <c r="D46" s="139">
        <v>1605000000</v>
      </c>
      <c r="E46" s="139">
        <v>1600289433.0899999</v>
      </c>
      <c r="F46" s="75">
        <f t="shared" ref="F46:F47" si="11">E46/D46*100</f>
        <v>99.706506734579435</v>
      </c>
      <c r="G46" s="75"/>
      <c r="H46" s="147">
        <v>3454074059.9000001</v>
      </c>
      <c r="I46" s="148">
        <v>2548641079</v>
      </c>
      <c r="J46" s="110">
        <f t="shared" ref="J46:J47" si="12">I46/H46*100</f>
        <v>73.78652092577849</v>
      </c>
      <c r="K46" s="110"/>
    </row>
    <row r="47" spans="3:13" ht="25.5" x14ac:dyDescent="0.2">
      <c r="C47" s="127" t="s">
        <v>462</v>
      </c>
      <c r="D47" s="139">
        <v>900000000</v>
      </c>
      <c r="E47" s="139">
        <v>640429841.29999995</v>
      </c>
      <c r="F47" s="75">
        <f t="shared" si="11"/>
        <v>71.158871255555539</v>
      </c>
      <c r="G47" s="78"/>
      <c r="H47" s="147">
        <v>2744452950.0999999</v>
      </c>
      <c r="I47" s="148">
        <v>2101598749.3299999</v>
      </c>
      <c r="J47" s="110">
        <f t="shared" si="12"/>
        <v>76.576235320537151</v>
      </c>
      <c r="K47" s="111"/>
    </row>
    <row r="48" spans="3:13" ht="25.5" x14ac:dyDescent="0.2">
      <c r="C48" s="127" t="s">
        <v>480</v>
      </c>
      <c r="D48" s="139"/>
      <c r="E48" s="139"/>
      <c r="F48" s="75"/>
      <c r="G48" s="78">
        <f>(F46+F47)/2</f>
        <v>85.43268899506748</v>
      </c>
      <c r="H48" s="110"/>
      <c r="I48" s="110"/>
      <c r="J48" s="110"/>
      <c r="K48" s="111">
        <f>(J46+J47)/2</f>
        <v>75.181378123157828</v>
      </c>
    </row>
    <row r="49" spans="3:11" x14ac:dyDescent="0.2">
      <c r="C49" s="128" t="s">
        <v>463</v>
      </c>
      <c r="D49" s="140">
        <v>7150000000</v>
      </c>
      <c r="E49" s="140">
        <v>6907233888.0900002</v>
      </c>
      <c r="F49" s="124">
        <f t="shared" ref="F49" si="13">E49/D49*100</f>
        <v>96.604669763496503</v>
      </c>
      <c r="G49" s="125"/>
      <c r="H49" s="149">
        <v>10842731684</v>
      </c>
      <c r="I49" s="150">
        <v>9706722773.8400002</v>
      </c>
      <c r="J49" s="112">
        <f t="shared" ref="J49" si="14">I49/H49*100</f>
        <v>89.522853250750984</v>
      </c>
      <c r="K49" s="113"/>
    </row>
    <row r="50" spans="3:11" ht="25.5" x14ac:dyDescent="0.2">
      <c r="C50" s="128" t="s">
        <v>481</v>
      </c>
      <c r="D50" s="140"/>
      <c r="E50" s="140"/>
      <c r="F50" s="124"/>
      <c r="G50" s="125">
        <f>F49</f>
        <v>96.604669763496503</v>
      </c>
      <c r="H50" s="112"/>
      <c r="I50" s="112"/>
      <c r="J50" s="112"/>
      <c r="K50" s="113">
        <f>J49</f>
        <v>89.522853250750984</v>
      </c>
    </row>
    <row r="51" spans="3:11" x14ac:dyDescent="0.2">
      <c r="C51" s="127" t="s">
        <v>464</v>
      </c>
      <c r="D51" s="139">
        <v>700000000</v>
      </c>
      <c r="E51" s="139">
        <v>619668882.20000005</v>
      </c>
      <c r="F51" s="75">
        <f t="shared" ref="F51:F53" si="15">E51/D51*100</f>
        <v>88.52412602857143</v>
      </c>
      <c r="G51" s="78"/>
      <c r="H51" s="147">
        <v>2673628926.9000001</v>
      </c>
      <c r="I51" s="148">
        <v>2305196069.27</v>
      </c>
      <c r="J51" s="110">
        <f t="shared" ref="J51:J53" si="16">I51/H51*100</f>
        <v>86.219745981833455</v>
      </c>
      <c r="K51" s="110"/>
    </row>
    <row r="52" spans="3:11" x14ac:dyDescent="0.2">
      <c r="C52" s="127" t="s">
        <v>465</v>
      </c>
      <c r="D52" s="139">
        <v>45148.99</v>
      </c>
      <c r="E52" s="139">
        <v>0</v>
      </c>
      <c r="F52" s="75">
        <f t="shared" si="15"/>
        <v>0</v>
      </c>
      <c r="G52" s="75"/>
      <c r="H52" s="147">
        <v>129381795.06</v>
      </c>
      <c r="I52" s="147">
        <v>63467471.439999998</v>
      </c>
      <c r="J52" s="110">
        <f t="shared" si="16"/>
        <v>49.054406310074263</v>
      </c>
      <c r="K52" s="111"/>
    </row>
    <row r="53" spans="3:11" x14ac:dyDescent="0.2">
      <c r="C53" s="127" t="s">
        <v>466</v>
      </c>
      <c r="D53" s="139">
        <v>4685000000</v>
      </c>
      <c r="E53" s="139">
        <v>4658302496.6599998</v>
      </c>
      <c r="F53" s="75">
        <f t="shared" si="15"/>
        <v>99.430149341728921</v>
      </c>
      <c r="G53" s="78"/>
      <c r="H53" s="147">
        <v>9453205495</v>
      </c>
      <c r="I53" s="148">
        <v>8980140141.0400009</v>
      </c>
      <c r="J53" s="110">
        <f t="shared" si="16"/>
        <v>94.99571490104374</v>
      </c>
      <c r="K53" s="111"/>
    </row>
    <row r="54" spans="3:11" x14ac:dyDescent="0.2">
      <c r="C54" s="127" t="s">
        <v>467</v>
      </c>
      <c r="D54" s="139"/>
      <c r="E54" s="139"/>
      <c r="F54" s="75"/>
      <c r="G54" s="78">
        <f>(F51+F52+F53)/3</f>
        <v>62.651425123433455</v>
      </c>
      <c r="H54" s="110"/>
      <c r="I54" s="110"/>
      <c r="J54" s="110"/>
      <c r="K54" s="111">
        <f>(J52+J53+J51)/3</f>
        <v>76.756622397650489</v>
      </c>
    </row>
    <row r="55" spans="3:11" x14ac:dyDescent="0.2">
      <c r="C55" s="128" t="s">
        <v>468</v>
      </c>
      <c r="D55" s="140">
        <v>1200000000</v>
      </c>
      <c r="E55" s="140">
        <v>1186851171.7</v>
      </c>
      <c r="F55" s="124">
        <f>E55/D55*100</f>
        <v>98.904264308333339</v>
      </c>
      <c r="G55" s="125"/>
      <c r="H55" s="151">
        <v>3015270816.4000001</v>
      </c>
      <c r="I55" s="152">
        <v>2959104794.0900002</v>
      </c>
      <c r="J55" s="141">
        <f>I55/H55*100</f>
        <v>98.137281002936319</v>
      </c>
      <c r="K55" s="142"/>
    </row>
    <row r="56" spans="3:11" x14ac:dyDescent="0.2">
      <c r="C56" s="128" t="s">
        <v>469</v>
      </c>
      <c r="D56" s="140">
        <v>1960000000</v>
      </c>
      <c r="E56" s="140">
        <v>1883548184</v>
      </c>
      <c r="F56" s="124">
        <f t="shared" ref="F56" si="17">E56/D56*100</f>
        <v>96.099397142857143</v>
      </c>
      <c r="G56" s="125"/>
      <c r="H56" s="151">
        <v>4703805891.8000002</v>
      </c>
      <c r="I56" s="152">
        <v>4522510372.3800001</v>
      </c>
      <c r="J56" s="141">
        <f>I56/H56*100</f>
        <v>96.145769540872266</v>
      </c>
      <c r="K56" s="142"/>
    </row>
    <row r="57" spans="3:11" ht="25.5" x14ac:dyDescent="0.2">
      <c r="C57" s="128" t="s">
        <v>482</v>
      </c>
      <c r="D57" s="124"/>
      <c r="E57" s="124"/>
      <c r="F57" s="124"/>
      <c r="G57" s="125">
        <f>(F55+F56)/2</f>
        <v>97.501830725595241</v>
      </c>
      <c r="H57" s="141"/>
      <c r="I57" s="141"/>
      <c r="J57" s="141"/>
      <c r="K57" s="142">
        <f>(J55+J56)/2</f>
        <v>97.1415252719043</v>
      </c>
    </row>
    <row r="58" spans="3:11" x14ac:dyDescent="0.2">
      <c r="C58" s="130"/>
      <c r="D58" s="77"/>
      <c r="E58" s="77"/>
      <c r="F58" s="77"/>
      <c r="G58" s="77"/>
      <c r="H58" s="68"/>
      <c r="I58" s="68"/>
      <c r="J58" s="68"/>
      <c r="K58" s="68"/>
    </row>
    <row r="59" spans="3:11" x14ac:dyDescent="0.2">
      <c r="C59" s="129" t="s">
        <v>470</v>
      </c>
      <c r="D59" s="133">
        <f>SUM(D38:D58)</f>
        <v>81800045148.990005</v>
      </c>
      <c r="E59" s="133">
        <f>SUM(E38:E58)</f>
        <v>76455429033.220001</v>
      </c>
      <c r="F59" s="118">
        <f t="shared" ref="F59" si="18">E59/D59*100</f>
        <v>93.466243073539431</v>
      </c>
      <c r="G59" s="117">
        <f>SUM(G38:G58)/6</f>
        <v>80.585630496540929</v>
      </c>
      <c r="H59" s="133">
        <f>SUM(H38:H56)</f>
        <v>198957944730.00995</v>
      </c>
      <c r="I59" s="133">
        <f>SUM(I38:I56)</f>
        <v>154158815978.5</v>
      </c>
      <c r="J59" s="118">
        <f t="shared" ref="J59" si="19">I59/H59*100</f>
        <v>77.483116438349171</v>
      </c>
      <c r="K59" s="117">
        <f>SUM(K39:K58)/6</f>
        <v>77.761034600234566</v>
      </c>
    </row>
    <row r="60" spans="3:11" x14ac:dyDescent="0.2">
      <c r="I60" s="135">
        <f>154158815978.5-I59</f>
        <v>0</v>
      </c>
    </row>
  </sheetData>
  <mergeCells count="12">
    <mergeCell ref="C32:K32"/>
    <mergeCell ref="C33:K33"/>
    <mergeCell ref="C34:K34"/>
    <mergeCell ref="C35:K35"/>
    <mergeCell ref="D36:G36"/>
    <mergeCell ref="H36:K36"/>
    <mergeCell ref="C4:K4"/>
    <mergeCell ref="C1:K1"/>
    <mergeCell ref="C2:K2"/>
    <mergeCell ref="C3:K3"/>
    <mergeCell ref="D5:G5"/>
    <mergeCell ref="H5:K5"/>
  </mergeCells>
  <pageMargins left="0.7" right="0.7" top="0.75" bottom="0.75" header="0.3" footer="0.3"/>
  <pageSetup paperSize="9" scale="83" orientation="landscape" r:id="rId1"/>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2019</vt:lpstr>
      <vt:lpstr> Resumen Porcentual</vt:lpstr>
      <vt:lpstr>' Resumen Porcentual'!Área_de_impresión</vt:lpstr>
    </vt:vector>
  </TitlesOfParts>
  <Company>CARDIQUE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dc:creator>
  <cp:lastModifiedBy>pc1</cp:lastModifiedBy>
  <cp:revision/>
  <cp:lastPrinted>2020-02-21T16:58:10Z</cp:lastPrinted>
  <dcterms:created xsi:type="dcterms:W3CDTF">2005-07-28T14:20:49Z</dcterms:created>
  <dcterms:modified xsi:type="dcterms:W3CDTF">2020-02-24T19:53:22Z</dcterms:modified>
</cp:coreProperties>
</file>